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filterPrivacy="1" defaultThemeVersion="124226"/>
  <xr:revisionPtr revIDLastSave="0" documentId="13_ncr:1_{E44B1663-360F-4F3F-A7BB-18E100767960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'инновации+добровольчество0,41'!$A$295:$I$454</definedName>
    <definedName name="_xlnm._FilterDatabase" localSheetId="7" hidden="1">'таланты+инициативы0,28'!$A$220:$I$378</definedName>
    <definedName name="_xlnm.Print_Area" localSheetId="0">затраты!$A$1:$K$24</definedName>
    <definedName name="_xlnm.Print_Area" localSheetId="2">'инновации+добровольчество0,41'!$A$1:$I$455</definedName>
    <definedName name="_xlnm.Print_Area" localSheetId="5">'патриотика0,31'!$A$1:$I$408</definedName>
    <definedName name="_xlnm.Print_Area" localSheetId="7">'таланты+инициативы0,28'!$A$1:$I$379</definedName>
  </definedNames>
  <calcPr calcId="181029"/>
  <fileRecoveryPr autoRecover="0"/>
</workbook>
</file>

<file path=xl/calcChain.xml><?xml version="1.0" encoding="utf-8"?>
<calcChain xmlns="http://schemas.openxmlformats.org/spreadsheetml/2006/main">
  <c r="E97" i="40" l="1"/>
  <c r="E98" i="40"/>
  <c r="E99" i="40"/>
  <c r="E100" i="40"/>
  <c r="E101" i="40"/>
  <c r="E102" i="40"/>
  <c r="E103" i="40"/>
  <c r="E104" i="40"/>
  <c r="E105" i="40"/>
  <c r="E106" i="40"/>
  <c r="E107" i="40"/>
  <c r="E108" i="40"/>
  <c r="E109" i="40"/>
  <c r="E110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D71" i="39"/>
  <c r="D72" i="39"/>
  <c r="D73" i="39"/>
  <c r="D74" i="39"/>
  <c r="D75" i="39"/>
  <c r="D76" i="39"/>
  <c r="D77" i="39"/>
  <c r="D78" i="39"/>
  <c r="D79" i="39"/>
  <c r="D80" i="39"/>
  <c r="D81" i="39"/>
  <c r="D82" i="39"/>
  <c r="D83" i="39"/>
  <c r="D84" i="39"/>
  <c r="C84" i="39"/>
  <c r="C81" i="39"/>
  <c r="C82" i="39"/>
  <c r="C83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C63" i="38"/>
  <c r="C64" i="38"/>
  <c r="C65" i="38"/>
  <c r="C66" i="38"/>
  <c r="C67" i="38"/>
  <c r="C55" i="38"/>
  <c r="C56" i="38"/>
  <c r="C57" i="38"/>
  <c r="C58" i="38"/>
  <c r="C59" i="38"/>
  <c r="C60" i="38"/>
  <c r="C61" i="38"/>
  <c r="C62" i="38"/>
  <c r="C54" i="38"/>
  <c r="F341" i="15"/>
  <c r="F342" i="15"/>
  <c r="F343" i="15"/>
  <c r="F344" i="15"/>
  <c r="F345" i="15"/>
  <c r="F346" i="15"/>
  <c r="F347" i="15"/>
  <c r="F348" i="15"/>
  <c r="F349" i="15"/>
  <c r="F350" i="15"/>
  <c r="F351" i="15"/>
  <c r="F352" i="15"/>
  <c r="F353" i="15"/>
  <c r="F354" i="15"/>
  <c r="F355" i="15"/>
  <c r="F356" i="15"/>
  <c r="F357" i="15"/>
  <c r="F358" i="15"/>
  <c r="F359" i="15"/>
  <c r="F360" i="15"/>
  <c r="F361" i="15"/>
  <c r="F362" i="15"/>
  <c r="F363" i="15"/>
  <c r="F364" i="15"/>
  <c r="F365" i="15"/>
  <c r="F366" i="15"/>
  <c r="F367" i="15"/>
  <c r="F368" i="15"/>
  <c r="F369" i="15"/>
  <c r="F370" i="15"/>
  <c r="F371" i="15"/>
  <c r="F372" i="15"/>
  <c r="F373" i="15"/>
  <c r="F374" i="15"/>
  <c r="F375" i="15"/>
  <c r="F376" i="15"/>
  <c r="F377" i="15"/>
  <c r="F378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222" i="15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251" i="14"/>
  <c r="F417" i="31"/>
  <c r="F418" i="31"/>
  <c r="F419" i="31"/>
  <c r="F420" i="31"/>
  <c r="F421" i="31"/>
  <c r="F422" i="31"/>
  <c r="F423" i="31"/>
  <c r="F424" i="31"/>
  <c r="F425" i="31"/>
  <c r="F426" i="31"/>
  <c r="F427" i="31"/>
  <c r="F428" i="31"/>
  <c r="F429" i="31"/>
  <c r="F430" i="31"/>
  <c r="F431" i="31"/>
  <c r="F432" i="31"/>
  <c r="F433" i="31"/>
  <c r="F434" i="31"/>
  <c r="F435" i="31"/>
  <c r="F436" i="31"/>
  <c r="F437" i="31"/>
  <c r="F438" i="31"/>
  <c r="F439" i="31"/>
  <c r="F440" i="31"/>
  <c r="F441" i="31"/>
  <c r="F442" i="31"/>
  <c r="F443" i="31"/>
  <c r="F444" i="31"/>
  <c r="F445" i="31"/>
  <c r="F446" i="31"/>
  <c r="F447" i="31"/>
  <c r="F448" i="31"/>
  <c r="F449" i="31"/>
  <c r="F450" i="31"/>
  <c r="F451" i="31"/>
  <c r="F452" i="31"/>
  <c r="F453" i="31"/>
  <c r="F454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E444" i="31"/>
  <c r="E445" i="31"/>
  <c r="E446" i="31"/>
  <c r="E447" i="31"/>
  <c r="E448" i="31"/>
  <c r="E449" i="31"/>
  <c r="E450" i="31"/>
  <c r="E451" i="31"/>
  <c r="E452" i="31"/>
  <c r="E453" i="31"/>
  <c r="E454" i="31"/>
  <c r="D299" i="31"/>
  <c r="D300" i="31"/>
  <c r="D301" i="31"/>
  <c r="D302" i="31"/>
  <c r="D303" i="31"/>
  <c r="D304" i="31"/>
  <c r="D305" i="31"/>
  <c r="D306" i="31"/>
  <c r="D307" i="31"/>
  <c r="D308" i="31"/>
  <c r="D309" i="31"/>
  <c r="D310" i="31"/>
  <c r="D311" i="31"/>
  <c r="D312" i="31"/>
  <c r="D313" i="31"/>
  <c r="D314" i="31"/>
  <c r="D315" i="31"/>
  <c r="D316" i="31"/>
  <c r="D317" i="31"/>
  <c r="D318" i="31"/>
  <c r="D319" i="31"/>
  <c r="D320" i="31"/>
  <c r="D321" i="31"/>
  <c r="D322" i="31"/>
  <c r="D323" i="31"/>
  <c r="D324" i="31"/>
  <c r="D325" i="31"/>
  <c r="D326" i="31"/>
  <c r="D327" i="31"/>
  <c r="D328" i="31"/>
  <c r="D329" i="31"/>
  <c r="D330" i="31"/>
  <c r="D331" i="31"/>
  <c r="D332" i="31"/>
  <c r="D333" i="31"/>
  <c r="D334" i="31"/>
  <c r="D335" i="31"/>
  <c r="D336" i="31"/>
  <c r="D337" i="31"/>
  <c r="D338" i="31"/>
  <c r="D339" i="31"/>
  <c r="D340" i="31"/>
  <c r="D341" i="31"/>
  <c r="D342" i="31"/>
  <c r="D343" i="31"/>
  <c r="D344" i="31"/>
  <c r="D345" i="31"/>
  <c r="D346" i="31"/>
  <c r="D347" i="31"/>
  <c r="D348" i="31"/>
  <c r="D349" i="31"/>
  <c r="D350" i="31"/>
  <c r="D351" i="31"/>
  <c r="D352" i="31"/>
  <c r="D353" i="31"/>
  <c r="D354" i="31"/>
  <c r="D355" i="31"/>
  <c r="D356" i="31"/>
  <c r="D357" i="31"/>
  <c r="D358" i="31"/>
  <c r="D359" i="31"/>
  <c r="D360" i="31"/>
  <c r="D361" i="31"/>
  <c r="D362" i="31"/>
  <c r="D363" i="31"/>
  <c r="D364" i="31"/>
  <c r="D365" i="31"/>
  <c r="D366" i="31"/>
  <c r="D367" i="31"/>
  <c r="D368" i="31"/>
  <c r="D369" i="31"/>
  <c r="D370" i="31"/>
  <c r="D371" i="31"/>
  <c r="D372" i="31"/>
  <c r="D373" i="31"/>
  <c r="D374" i="31"/>
  <c r="D375" i="31"/>
  <c r="D376" i="31"/>
  <c r="D377" i="31"/>
  <c r="D378" i="31"/>
  <c r="D379" i="31"/>
  <c r="D380" i="31"/>
  <c r="D381" i="31"/>
  <c r="D382" i="31"/>
  <c r="D383" i="31"/>
  <c r="D384" i="31"/>
  <c r="D385" i="31"/>
  <c r="D386" i="31"/>
  <c r="D387" i="31"/>
  <c r="D388" i="31"/>
  <c r="D389" i="31"/>
  <c r="D390" i="31"/>
  <c r="D391" i="31"/>
  <c r="D392" i="31"/>
  <c r="D393" i="31"/>
  <c r="D394" i="31"/>
  <c r="D395" i="31"/>
  <c r="D396" i="31"/>
  <c r="D397" i="31"/>
  <c r="D398" i="31"/>
  <c r="D399" i="31"/>
  <c r="D400" i="31"/>
  <c r="D401" i="31"/>
  <c r="D402" i="31"/>
  <c r="D403" i="31"/>
  <c r="D404" i="31"/>
  <c r="D405" i="31"/>
  <c r="D406" i="31"/>
  <c r="D407" i="31"/>
  <c r="D408" i="31"/>
  <c r="D409" i="31"/>
  <c r="D410" i="31"/>
  <c r="D411" i="31"/>
  <c r="D412" i="31"/>
  <c r="D413" i="31"/>
  <c r="D414" i="31"/>
  <c r="D415" i="31"/>
  <c r="D416" i="31"/>
  <c r="D417" i="31"/>
  <c r="D418" i="31"/>
  <c r="D419" i="31"/>
  <c r="D420" i="31"/>
  <c r="D421" i="31"/>
  <c r="D422" i="31"/>
  <c r="D423" i="31"/>
  <c r="D424" i="31"/>
  <c r="D425" i="31"/>
  <c r="D426" i="31"/>
  <c r="D427" i="31"/>
  <c r="D428" i="31"/>
  <c r="D429" i="31"/>
  <c r="D430" i="31"/>
  <c r="D431" i="31"/>
  <c r="D432" i="31"/>
  <c r="D433" i="31"/>
  <c r="D434" i="31"/>
  <c r="D435" i="31"/>
  <c r="D436" i="31"/>
  <c r="D437" i="31"/>
  <c r="D438" i="31"/>
  <c r="D439" i="31"/>
  <c r="D440" i="31"/>
  <c r="D441" i="31"/>
  <c r="D442" i="31"/>
  <c r="D443" i="31"/>
  <c r="D444" i="31"/>
  <c r="D445" i="31"/>
  <c r="D446" i="31"/>
  <c r="D447" i="31"/>
  <c r="D448" i="31"/>
  <c r="D449" i="31"/>
  <c r="D450" i="31"/>
  <c r="D451" i="31"/>
  <c r="D452" i="31"/>
  <c r="D453" i="31"/>
  <c r="D454" i="31"/>
  <c r="D298" i="31"/>
  <c r="A417" i="31"/>
  <c r="A418" i="31"/>
  <c r="A419" i="31"/>
  <c r="A420" i="31"/>
  <c r="A421" i="31"/>
  <c r="A422" i="31"/>
  <c r="A423" i="31"/>
  <c r="A424" i="31"/>
  <c r="A425" i="31"/>
  <c r="A426" i="31"/>
  <c r="A427" i="31"/>
  <c r="A428" i="31"/>
  <c r="A429" i="31"/>
  <c r="A430" i="31"/>
  <c r="A431" i="31"/>
  <c r="A432" i="31"/>
  <c r="A433" i="31"/>
  <c r="A434" i="31"/>
  <c r="A435" i="31"/>
  <c r="A436" i="31"/>
  <c r="A437" i="31"/>
  <c r="A438" i="31"/>
  <c r="A439" i="31"/>
  <c r="A440" i="31"/>
  <c r="A441" i="31"/>
  <c r="A442" i="31"/>
  <c r="A443" i="31"/>
  <c r="A444" i="31"/>
  <c r="A445" i="31"/>
  <c r="A446" i="31"/>
  <c r="A447" i="31"/>
  <c r="A448" i="31"/>
  <c r="A449" i="31"/>
  <c r="A450" i="31"/>
  <c r="A451" i="31"/>
  <c r="A452" i="31"/>
  <c r="A453" i="31"/>
  <c r="A454" i="31"/>
  <c r="A299" i="31"/>
  <c r="A300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315" i="31"/>
  <c r="A316" i="31"/>
  <c r="A317" i="31"/>
  <c r="A318" i="31"/>
  <c r="A319" i="31"/>
  <c r="A320" i="31"/>
  <c r="A321" i="31"/>
  <c r="A322" i="31"/>
  <c r="A323" i="31"/>
  <c r="A324" i="31"/>
  <c r="A325" i="31"/>
  <c r="A326" i="31"/>
  <c r="A327" i="31"/>
  <c r="A328" i="31"/>
  <c r="A329" i="31"/>
  <c r="A330" i="31"/>
  <c r="A331" i="31"/>
  <c r="A332" i="31"/>
  <c r="A333" i="31"/>
  <c r="A334" i="31"/>
  <c r="A335" i="31"/>
  <c r="A336" i="31"/>
  <c r="A337" i="31"/>
  <c r="A338" i="31"/>
  <c r="A339" i="31"/>
  <c r="A340" i="31"/>
  <c r="A341" i="31"/>
  <c r="A342" i="31"/>
  <c r="A343" i="31"/>
  <c r="A344" i="31"/>
  <c r="A345" i="31"/>
  <c r="A346" i="31"/>
  <c r="A347" i="3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74" i="31"/>
  <c r="A375" i="31"/>
  <c r="A376" i="31"/>
  <c r="A377" i="31"/>
  <c r="A378" i="31"/>
  <c r="A379" i="31"/>
  <c r="A380" i="31"/>
  <c r="A381" i="31"/>
  <c r="A382" i="31"/>
  <c r="A383" i="31"/>
  <c r="A384" i="31"/>
  <c r="A385" i="31"/>
  <c r="A386" i="31"/>
  <c r="A387" i="31"/>
  <c r="A388" i="31"/>
  <c r="A389" i="31"/>
  <c r="A390" i="31"/>
  <c r="A391" i="31"/>
  <c r="A392" i="31"/>
  <c r="A393" i="31"/>
  <c r="A394" i="31"/>
  <c r="A395" i="31"/>
  <c r="A396" i="31"/>
  <c r="A397" i="31"/>
  <c r="A398" i="31"/>
  <c r="A399" i="31"/>
  <c r="A400" i="31"/>
  <c r="A401" i="31"/>
  <c r="A402" i="31"/>
  <c r="A403" i="31"/>
  <c r="A404" i="31"/>
  <c r="A405" i="31"/>
  <c r="A406" i="31"/>
  <c r="A407" i="31"/>
  <c r="A408" i="31"/>
  <c r="A409" i="31"/>
  <c r="A410" i="31"/>
  <c r="A411" i="31"/>
  <c r="A412" i="31"/>
  <c r="A413" i="31"/>
  <c r="A414" i="31"/>
  <c r="A415" i="31"/>
  <c r="A416" i="3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202" i="15"/>
  <c r="E203" i="15"/>
  <c r="E204" i="15"/>
  <c r="F204" i="15" s="1"/>
  <c r="E205" i="15"/>
  <c r="E206" i="15"/>
  <c r="F206" i="15" s="1"/>
  <c r="E207" i="15"/>
  <c r="E208" i="15"/>
  <c r="E209" i="15"/>
  <c r="E210" i="15"/>
  <c r="E211" i="15"/>
  <c r="E212" i="15"/>
  <c r="E213" i="15"/>
  <c r="E214" i="15"/>
  <c r="F214" i="15" s="1"/>
  <c r="E215" i="15"/>
  <c r="D215" i="15"/>
  <c r="F215" i="15" s="1"/>
  <c r="D214" i="15"/>
  <c r="D210" i="15"/>
  <c r="D209" i="15"/>
  <c r="D208" i="15"/>
  <c r="D204" i="15"/>
  <c r="D202" i="15"/>
  <c r="D203" i="15"/>
  <c r="D205" i="15"/>
  <c r="D206" i="15"/>
  <c r="D207" i="15"/>
  <c r="D211" i="15"/>
  <c r="D212" i="15"/>
  <c r="D213" i="15"/>
  <c r="D201" i="15"/>
  <c r="B203" i="15"/>
  <c r="B205" i="15"/>
  <c r="B207" i="15"/>
  <c r="B209" i="15"/>
  <c r="B211" i="15"/>
  <c r="B213" i="15"/>
  <c r="B215" i="15"/>
  <c r="A210" i="15"/>
  <c r="A211" i="15"/>
  <c r="A212" i="15"/>
  <c r="A213" i="15"/>
  <c r="A214" i="15"/>
  <c r="A215" i="15"/>
  <c r="A202" i="15"/>
  <c r="A203" i="15"/>
  <c r="A204" i="15"/>
  <c r="A205" i="15"/>
  <c r="A206" i="15"/>
  <c r="A207" i="15"/>
  <c r="A208" i="15"/>
  <c r="A209" i="15"/>
  <c r="F237" i="14"/>
  <c r="F241" i="14"/>
  <c r="D242" i="14"/>
  <c r="D241" i="14"/>
  <c r="D240" i="14"/>
  <c r="D239" i="14"/>
  <c r="F239" i="14" s="1"/>
  <c r="D238" i="14"/>
  <c r="D237" i="14"/>
  <c r="D236" i="14"/>
  <c r="D235" i="14"/>
  <c r="F235" i="14" s="1"/>
  <c r="D234" i="14"/>
  <c r="E231" i="14"/>
  <c r="E232" i="14"/>
  <c r="F232" i="14" s="1"/>
  <c r="E233" i="14"/>
  <c r="E234" i="14"/>
  <c r="F234" i="14" s="1"/>
  <c r="E235" i="14"/>
  <c r="E236" i="14"/>
  <c r="F236" i="14" s="1"/>
  <c r="E237" i="14"/>
  <c r="E238" i="14"/>
  <c r="F238" i="14" s="1"/>
  <c r="E239" i="14"/>
  <c r="E240" i="14"/>
  <c r="F240" i="14" s="1"/>
  <c r="E241" i="14"/>
  <c r="E242" i="14"/>
  <c r="F242" i="14" s="1"/>
  <c r="E243" i="14"/>
  <c r="E244" i="14"/>
  <c r="D232" i="14"/>
  <c r="D233" i="14"/>
  <c r="F233" i="14" s="1"/>
  <c r="D243" i="14"/>
  <c r="F243" i="14" s="1"/>
  <c r="D244" i="14"/>
  <c r="D231" i="14"/>
  <c r="F231" i="14" s="1"/>
  <c r="A237" i="14"/>
  <c r="A238" i="14"/>
  <c r="A239" i="14"/>
  <c r="A240" i="14"/>
  <c r="A241" i="14"/>
  <c r="A242" i="14"/>
  <c r="A243" i="14"/>
  <c r="A244" i="14"/>
  <c r="A231" i="14"/>
  <c r="A232" i="14"/>
  <c r="A233" i="14"/>
  <c r="A234" i="14"/>
  <c r="A235" i="14"/>
  <c r="A236" i="14"/>
  <c r="B278" i="31"/>
  <c r="B202" i="15" s="1"/>
  <c r="B279" i="31"/>
  <c r="B280" i="31"/>
  <c r="B204" i="15" s="1"/>
  <c r="B281" i="31"/>
  <c r="B282" i="31"/>
  <c r="B206" i="15" s="1"/>
  <c r="B283" i="31"/>
  <c r="B284" i="31"/>
  <c r="B208" i="15" s="1"/>
  <c r="B285" i="31"/>
  <c r="B286" i="31"/>
  <c r="B210" i="15" s="1"/>
  <c r="B287" i="31"/>
  <c r="B288" i="31"/>
  <c r="B212" i="15" s="1"/>
  <c r="B289" i="31"/>
  <c r="B290" i="31"/>
  <c r="B214" i="15" s="1"/>
  <c r="B291" i="31"/>
  <c r="D198" i="15"/>
  <c r="D197" i="15"/>
  <c r="D196" i="15"/>
  <c r="D195" i="15"/>
  <c r="D227" i="14"/>
  <c r="D226" i="14"/>
  <c r="D228" i="14"/>
  <c r="E219" i="14"/>
  <c r="D225" i="14"/>
  <c r="D224" i="14"/>
  <c r="F212" i="15" l="1"/>
  <c r="F210" i="15"/>
  <c r="F208" i="15"/>
  <c r="F202" i="15"/>
  <c r="F213" i="15"/>
  <c r="F211" i="15"/>
  <c r="F209" i="15"/>
  <c r="F207" i="15"/>
  <c r="F205" i="15"/>
  <c r="F203" i="15"/>
  <c r="F244" i="14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1" i="15"/>
  <c r="G82" i="15"/>
  <c r="G84" i="15"/>
  <c r="G85" i="15"/>
  <c r="G86" i="15"/>
  <c r="G59" i="15"/>
  <c r="G87" i="15" s="1"/>
  <c r="F65" i="14"/>
  <c r="F66" i="14"/>
  <c r="F67" i="14"/>
  <c r="F68" i="14"/>
  <c r="F69" i="14"/>
  <c r="F70" i="14"/>
  <c r="F71" i="14"/>
  <c r="F72" i="14"/>
  <c r="F73" i="14"/>
  <c r="F74" i="14"/>
  <c r="F75" i="14"/>
  <c r="F76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1" i="14"/>
  <c r="F92" i="14"/>
  <c r="F93" i="14"/>
  <c r="F94" i="14"/>
  <c r="F96" i="14"/>
  <c r="F97" i="14"/>
  <c r="F98" i="14"/>
  <c r="F99" i="14"/>
  <c r="F101" i="14"/>
  <c r="F102" i="14"/>
  <c r="F103" i="14"/>
  <c r="F104" i="14"/>
  <c r="F105" i="14"/>
  <c r="F106" i="14"/>
  <c r="F107" i="14"/>
  <c r="F108" i="14"/>
  <c r="F109" i="14"/>
  <c r="F110" i="14"/>
  <c r="F64" i="14"/>
  <c r="F111" i="14" l="1"/>
  <c r="D127" i="15" l="1"/>
  <c r="B127" i="15"/>
  <c r="E126" i="15"/>
  <c r="F126" i="15" s="1"/>
  <c r="D118" i="15"/>
  <c r="B118" i="15"/>
  <c r="E117" i="15"/>
  <c r="F117" i="15" s="1"/>
  <c r="E116" i="15"/>
  <c r="F116" i="15" s="1"/>
  <c r="D130" i="14"/>
  <c r="B130" i="14"/>
  <c r="E129" i="14"/>
  <c r="E130" i="14" s="1"/>
  <c r="D50" i="14"/>
  <c r="B50" i="14"/>
  <c r="E49" i="14"/>
  <c r="F49" i="14" s="1"/>
  <c r="E48" i="14"/>
  <c r="F127" i="15" l="1"/>
  <c r="E127" i="15"/>
  <c r="F118" i="15"/>
  <c r="E118" i="15"/>
  <c r="F129" i="14"/>
  <c r="F130" i="14" s="1"/>
  <c r="E50" i="14"/>
  <c r="F48" i="14"/>
  <c r="F50" i="14" s="1"/>
  <c r="B200" i="31"/>
  <c r="D200" i="31"/>
  <c r="E199" i="31"/>
  <c r="E200" i="31" s="1"/>
  <c r="F199" i="31" l="1"/>
  <c r="F178" i="31"/>
  <c r="F177" i="31"/>
  <c r="F176" i="31"/>
  <c r="F175" i="31"/>
  <c r="F174" i="31"/>
  <c r="F173" i="31"/>
  <c r="F172" i="31"/>
  <c r="F171" i="31"/>
  <c r="F170" i="31"/>
  <c r="F169" i="31"/>
  <c r="F168" i="31"/>
  <c r="F167" i="31"/>
  <c r="F166" i="31"/>
  <c r="F165" i="31"/>
  <c r="F164" i="31"/>
  <c r="F163" i="31"/>
  <c r="F162" i="31"/>
  <c r="F161" i="31"/>
  <c r="F160" i="31"/>
  <c r="F159" i="31"/>
  <c r="F158" i="31"/>
  <c r="F157" i="31"/>
  <c r="F156" i="31"/>
  <c r="F155" i="31"/>
  <c r="F154" i="31"/>
  <c r="F153" i="31"/>
  <c r="F152" i="31"/>
  <c r="F151" i="31"/>
  <c r="F150" i="31"/>
  <c r="F149" i="31"/>
  <c r="F148" i="31"/>
  <c r="F147" i="31"/>
  <c r="F146" i="31"/>
  <c r="F145" i="31"/>
  <c r="F144" i="31"/>
  <c r="F143" i="31"/>
  <c r="F142" i="31"/>
  <c r="F141" i="31"/>
  <c r="F140" i="31"/>
  <c r="F139" i="31"/>
  <c r="F138" i="31"/>
  <c r="F137" i="31"/>
  <c r="F136" i="31"/>
  <c r="F135" i="31"/>
  <c r="F134" i="31"/>
  <c r="F133" i="31"/>
  <c r="F132" i="31"/>
  <c r="F131" i="31"/>
  <c r="F130" i="31"/>
  <c r="F129" i="31"/>
  <c r="F128" i="31"/>
  <c r="F127" i="31"/>
  <c r="F126" i="31"/>
  <c r="F125" i="31"/>
  <c r="F124" i="31"/>
  <c r="F123" i="31"/>
  <c r="F122" i="31"/>
  <c r="F121" i="31"/>
  <c r="F120" i="31"/>
  <c r="F119" i="31"/>
  <c r="F118" i="31"/>
  <c r="F117" i="31"/>
  <c r="F116" i="31"/>
  <c r="F115" i="31"/>
  <c r="F114" i="31"/>
  <c r="F113" i="31"/>
  <c r="F112" i="31"/>
  <c r="F111" i="31"/>
  <c r="F110" i="31"/>
  <c r="F109" i="31"/>
  <c r="F108" i="31"/>
  <c r="F107" i="31"/>
  <c r="F106" i="31"/>
  <c r="F105" i="31"/>
  <c r="F104" i="31"/>
  <c r="F103" i="31"/>
  <c r="F102" i="31"/>
  <c r="F101" i="31"/>
  <c r="F100" i="31"/>
  <c r="F99" i="31"/>
  <c r="F98" i="31"/>
  <c r="F97" i="31"/>
  <c r="F96" i="31"/>
  <c r="F95" i="31"/>
  <c r="F94" i="31"/>
  <c r="F93" i="31"/>
  <c r="F92" i="31"/>
  <c r="F91" i="31"/>
  <c r="F90" i="31"/>
  <c r="F89" i="31"/>
  <c r="F88" i="31"/>
  <c r="F87" i="31"/>
  <c r="F86" i="31"/>
  <c r="F85" i="31"/>
  <c r="F84" i="31"/>
  <c r="F83" i="31"/>
  <c r="F82" i="31"/>
  <c r="F81" i="31"/>
  <c r="F80" i="31"/>
  <c r="F79" i="31"/>
  <c r="F78" i="31"/>
  <c r="F77" i="31"/>
  <c r="F76" i="31"/>
  <c r="F75" i="31"/>
  <c r="F74" i="31"/>
  <c r="F73" i="31"/>
  <c r="F72" i="31"/>
  <c r="F71" i="31"/>
  <c r="F70" i="31"/>
  <c r="F69" i="31"/>
  <c r="F68" i="31"/>
  <c r="F67" i="31"/>
  <c r="F66" i="31"/>
  <c r="F65" i="31"/>
  <c r="F64" i="31"/>
  <c r="E208" i="31"/>
  <c r="F208" i="31" s="1"/>
  <c r="E209" i="31"/>
  <c r="F209" i="31" s="1"/>
  <c r="E210" i="31"/>
  <c r="F210" i="31" s="1"/>
  <c r="D211" i="31"/>
  <c r="F216" i="31"/>
  <c r="F211" i="31" l="1"/>
  <c r="E211" i="31"/>
  <c r="F63" i="31" l="1"/>
  <c r="F179" i="31" s="1"/>
  <c r="E22" i="39" l="1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D191" i="15" l="1"/>
  <c r="D190" i="15"/>
  <c r="D220" i="14"/>
  <c r="D219" i="14"/>
  <c r="E251" i="14" l="1"/>
  <c r="F316" i="31"/>
  <c r="F341" i="31"/>
  <c r="F353" i="31"/>
  <c r="F355" i="31"/>
  <c r="F363" i="31"/>
  <c r="F379" i="31"/>
  <c r="F381" i="31"/>
  <c r="F385" i="31"/>
  <c r="F387" i="31"/>
  <c r="F389" i="31"/>
  <c r="F391" i="31"/>
  <c r="F393" i="31"/>
  <c r="F397" i="31"/>
  <c r="F399" i="31"/>
  <c r="F405" i="31"/>
  <c r="F407" i="31"/>
  <c r="F409" i="31"/>
  <c r="F411" i="31"/>
  <c r="F413" i="31"/>
  <c r="F415" i="31"/>
  <c r="E298" i="31"/>
  <c r="A298" i="31"/>
  <c r="E6" i="41"/>
  <c r="E7" i="41"/>
  <c r="E8" i="41"/>
  <c r="E9" i="41"/>
  <c r="E10" i="41"/>
  <c r="E11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24" i="38"/>
  <c r="D24" i="38"/>
  <c r="C24" i="38"/>
  <c r="F315" i="31" l="1"/>
  <c r="F416" i="31"/>
  <c r="F414" i="31"/>
  <c r="F412" i="31"/>
  <c r="F410" i="31"/>
  <c r="F408" i="31"/>
  <c r="F406" i="31"/>
  <c r="F400" i="31"/>
  <c r="F398" i="31"/>
  <c r="F394" i="31"/>
  <c r="F392" i="31"/>
  <c r="F390" i="31"/>
  <c r="F388" i="31"/>
  <c r="F386" i="31"/>
  <c r="F384" i="31"/>
  <c r="F380" i="31"/>
  <c r="F372" i="31"/>
  <c r="F360" i="31"/>
  <c r="F354" i="31"/>
  <c r="F350" i="31"/>
  <c r="F312" i="31"/>
  <c r="F338" i="31"/>
  <c r="F340" i="31"/>
  <c r="F342" i="31"/>
  <c r="F344" i="31"/>
  <c r="F346" i="31"/>
  <c r="F348" i="31"/>
  <c r="F352" i="31"/>
  <c r="F356" i="31"/>
  <c r="F358" i="31"/>
  <c r="F362" i="31"/>
  <c r="F364" i="31"/>
  <c r="F366" i="31"/>
  <c r="F368" i="31"/>
  <c r="F370" i="31"/>
  <c r="F374" i="31"/>
  <c r="F376" i="31"/>
  <c r="F378" i="31"/>
  <c r="F382" i="31"/>
  <c r="F396" i="31"/>
  <c r="F402" i="31"/>
  <c r="F404" i="31"/>
  <c r="F339" i="31"/>
  <c r="F343" i="31"/>
  <c r="F345" i="31"/>
  <c r="F347" i="31"/>
  <c r="F349" i="31"/>
  <c r="F351" i="31"/>
  <c r="F357" i="31"/>
  <c r="F359" i="31"/>
  <c r="F361" i="31"/>
  <c r="F365" i="31"/>
  <c r="F367" i="31"/>
  <c r="F369" i="31"/>
  <c r="F371" i="31"/>
  <c r="F373" i="31"/>
  <c r="F375" i="31"/>
  <c r="F377" i="31"/>
  <c r="F383" i="31"/>
  <c r="F395" i="31"/>
  <c r="F401" i="31"/>
  <c r="F403" i="31"/>
  <c r="F311" i="31"/>
  <c r="F314" i="31"/>
  <c r="E44" i="39"/>
  <c r="C44" i="39"/>
  <c r="G118" i="14"/>
  <c r="G121" i="14" s="1"/>
  <c r="A123" i="14"/>
  <c r="B251" i="14" l="1"/>
  <c r="B252" i="14"/>
  <c r="B253" i="14"/>
  <c r="B254" i="14"/>
  <c r="B255" i="14"/>
  <c r="B256" i="14"/>
  <c r="B257" i="14"/>
  <c r="B258" i="14"/>
  <c r="B259" i="14"/>
  <c r="B260" i="14"/>
  <c r="B261" i="14"/>
  <c r="B262" i="14"/>
  <c r="B263" i="14"/>
  <c r="B264" i="14"/>
  <c r="B265" i="14"/>
  <c r="B266" i="14"/>
  <c r="B267" i="14"/>
  <c r="B268" i="14"/>
  <c r="B269" i="14"/>
  <c r="E197" i="15"/>
  <c r="E198" i="15"/>
  <c r="E199" i="15"/>
  <c r="E200" i="15"/>
  <c r="E201" i="15"/>
  <c r="E226" i="14"/>
  <c r="E227" i="14"/>
  <c r="E228" i="14"/>
  <c r="E229" i="14"/>
  <c r="E230" i="14"/>
  <c r="B274" i="31"/>
  <c r="B198" i="15" s="1"/>
  <c r="B275" i="31"/>
  <c r="B199" i="15" s="1"/>
  <c r="B276" i="31"/>
  <c r="B200" i="15" s="1"/>
  <c r="B277" i="31"/>
  <c r="B201" i="15" s="1"/>
  <c r="B273" i="31"/>
  <c r="B197" i="15" s="1"/>
  <c r="E196" i="15"/>
  <c r="E225" i="14"/>
  <c r="B149" i="15" l="1"/>
  <c r="E226" i="31"/>
  <c r="E227" i="31"/>
  <c r="E228" i="31"/>
  <c r="E229" i="31"/>
  <c r="E230" i="31"/>
  <c r="E225" i="31"/>
  <c r="A226" i="31"/>
  <c r="A227" i="31"/>
  <c r="A228" i="31"/>
  <c r="A229" i="31"/>
  <c r="A230" i="31"/>
  <c r="A225" i="31"/>
  <c r="E149" i="15" l="1"/>
  <c r="D109" i="15"/>
  <c r="E109" i="15" s="1"/>
  <c r="G109" i="15" s="1"/>
  <c r="D108" i="15"/>
  <c r="E108" i="15" s="1"/>
  <c r="G108" i="15" s="1"/>
  <c r="A109" i="15"/>
  <c r="A108" i="15"/>
  <c r="A107" i="15"/>
  <c r="A106" i="15"/>
  <c r="D107" i="15"/>
  <c r="E107" i="15" s="1"/>
  <c r="G107" i="15" s="1"/>
  <c r="D106" i="15"/>
  <c r="E106" i="15" s="1"/>
  <c r="G106" i="15" s="1"/>
  <c r="H109" i="15"/>
  <c r="H108" i="15"/>
  <c r="H107" i="15"/>
  <c r="H106" i="15"/>
  <c r="I107" i="15" l="1"/>
  <c r="I109" i="15"/>
  <c r="I106" i="15"/>
  <c r="I108" i="15"/>
  <c r="I110" i="15" l="1"/>
  <c r="H140" i="14"/>
  <c r="H139" i="14"/>
  <c r="H138" i="14"/>
  <c r="H137" i="14"/>
  <c r="A138" i="14"/>
  <c r="A139" i="14"/>
  <c r="A140" i="14"/>
  <c r="A137" i="14"/>
  <c r="B25" i="14"/>
  <c r="H25" i="14" s="1"/>
  <c r="B24" i="14"/>
  <c r="H24" i="14" s="1"/>
  <c r="H189" i="31"/>
  <c r="H190" i="31"/>
  <c r="H191" i="31"/>
  <c r="H188" i="31"/>
  <c r="H26" i="31"/>
  <c r="H25" i="31"/>
  <c r="A181" i="31" l="1"/>
  <c r="A14" i="14"/>
  <c r="A15" i="31" s="1"/>
  <c r="A263" i="14" l="1"/>
  <c r="A234" i="15" s="1"/>
  <c r="A264" i="14"/>
  <c r="A235" i="15" s="1"/>
  <c r="A254" i="14"/>
  <c r="A225" i="15" s="1"/>
  <c r="A252" i="14"/>
  <c r="A223" i="15" s="1"/>
  <c r="C103" i="38"/>
  <c r="C119" i="39" s="1"/>
  <c r="C145" i="40" s="1"/>
  <c r="D103" i="38"/>
  <c r="D119" i="39" s="1"/>
  <c r="D145" i="40" s="1"/>
  <c r="C104" i="38"/>
  <c r="C120" i="39" s="1"/>
  <c r="C146" i="40" s="1"/>
  <c r="D104" i="38"/>
  <c r="D120" i="39" s="1"/>
  <c r="D146" i="40" s="1"/>
  <c r="E104" i="38"/>
  <c r="C94" i="38"/>
  <c r="C110" i="39" s="1"/>
  <c r="C136" i="40" s="1"/>
  <c r="D94" i="38"/>
  <c r="D110" i="39" s="1"/>
  <c r="D136" i="40" s="1"/>
  <c r="D92" i="38"/>
  <c r="D108" i="39" s="1"/>
  <c r="D134" i="40" s="1"/>
  <c r="C92" i="38"/>
  <c r="C108" i="39" s="1"/>
  <c r="C134" i="40" s="1"/>
  <c r="E13" i="41"/>
  <c r="E12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C47" i="38" l="1"/>
  <c r="C48" i="38"/>
  <c r="C49" i="38"/>
  <c r="C50" i="38"/>
  <c r="C51" i="38"/>
  <c r="C52" i="38"/>
  <c r="C53" i="38"/>
  <c r="A273" i="14"/>
  <c r="A244" i="15" s="1"/>
  <c r="A274" i="14"/>
  <c r="A245" i="15" s="1"/>
  <c r="A275" i="14"/>
  <c r="A246" i="15" s="1"/>
  <c r="A276" i="14"/>
  <c r="A247" i="15" s="1"/>
  <c r="A277" i="14"/>
  <c r="A248" i="15" s="1"/>
  <c r="A278" i="14"/>
  <c r="A249" i="15" s="1"/>
  <c r="A279" i="14"/>
  <c r="A250" i="15" s="1"/>
  <c r="A280" i="14"/>
  <c r="A251" i="15" s="1"/>
  <c r="A281" i="14"/>
  <c r="A252" i="15" s="1"/>
  <c r="A282" i="14"/>
  <c r="A253" i="15" s="1"/>
  <c r="A283" i="14"/>
  <c r="A254" i="15" s="1"/>
  <c r="A284" i="14"/>
  <c r="A255" i="15" s="1"/>
  <c r="A285" i="14"/>
  <c r="A256" i="15" s="1"/>
  <c r="A286" i="14"/>
  <c r="A257" i="15" s="1"/>
  <c r="A287" i="14"/>
  <c r="A258" i="15" s="1"/>
  <c r="A288" i="14"/>
  <c r="A259" i="15" s="1"/>
  <c r="A289" i="14"/>
  <c r="A260" i="15" s="1"/>
  <c r="A290" i="14"/>
  <c r="A261" i="15" s="1"/>
  <c r="A291" i="14"/>
  <c r="A262" i="15" s="1"/>
  <c r="A292" i="14"/>
  <c r="A263" i="15" s="1"/>
  <c r="A293" i="14"/>
  <c r="A264" i="15" s="1"/>
  <c r="A294" i="14"/>
  <c r="A265" i="15" s="1"/>
  <c r="A295" i="14"/>
  <c r="A266" i="15" s="1"/>
  <c r="A296" i="14"/>
  <c r="A267" i="15" s="1"/>
  <c r="A297" i="14"/>
  <c r="A268" i="15" s="1"/>
  <c r="A298" i="14"/>
  <c r="A269" i="15" s="1"/>
  <c r="A299" i="14"/>
  <c r="A270" i="15" s="1"/>
  <c r="A300" i="14"/>
  <c r="A271" i="15" s="1"/>
  <c r="A301" i="14"/>
  <c r="A272" i="15" s="1"/>
  <c r="A302" i="14"/>
  <c r="A273" i="15" s="1"/>
  <c r="A303" i="14"/>
  <c r="A274" i="15" s="1"/>
  <c r="A304" i="14"/>
  <c r="A275" i="15" s="1"/>
  <c r="A305" i="14"/>
  <c r="A276" i="15" s="1"/>
  <c r="A306" i="14"/>
  <c r="A277" i="15" s="1"/>
  <c r="A307" i="14"/>
  <c r="A278" i="15" s="1"/>
  <c r="A308" i="14"/>
  <c r="A279" i="15" s="1"/>
  <c r="A309" i="14"/>
  <c r="A280" i="15" s="1"/>
  <c r="A310" i="14"/>
  <c r="A281" i="15" s="1"/>
  <c r="A311" i="14"/>
  <c r="A282" i="15" s="1"/>
  <c r="A312" i="14"/>
  <c r="A283" i="15" s="1"/>
  <c r="A313" i="14"/>
  <c r="A284" i="15" s="1"/>
  <c r="A314" i="14"/>
  <c r="A285" i="15" s="1"/>
  <c r="A315" i="14"/>
  <c r="A286" i="15" s="1"/>
  <c r="A316" i="14"/>
  <c r="A287" i="15" s="1"/>
  <c r="A317" i="14"/>
  <c r="A288" i="15" s="1"/>
  <c r="A318" i="14"/>
  <c r="A289" i="15" s="1"/>
  <c r="A319" i="14"/>
  <c r="A290" i="15" s="1"/>
  <c r="A320" i="14"/>
  <c r="A291" i="15" s="1"/>
  <c r="A321" i="14"/>
  <c r="A292" i="15" s="1"/>
  <c r="A322" i="14"/>
  <c r="A293" i="15" s="1"/>
  <c r="A323" i="14"/>
  <c r="A294" i="15" s="1"/>
  <c r="A324" i="14"/>
  <c r="A295" i="15" s="1"/>
  <c r="A325" i="14"/>
  <c r="A296" i="15" s="1"/>
  <c r="A326" i="14"/>
  <c r="A297" i="15" s="1"/>
  <c r="A327" i="14"/>
  <c r="A298" i="15" s="1"/>
  <c r="A328" i="14"/>
  <c r="A299" i="15" s="1"/>
  <c r="A329" i="14"/>
  <c r="A300" i="15" s="1"/>
  <c r="A330" i="14"/>
  <c r="A301" i="15" s="1"/>
  <c r="A331" i="14"/>
  <c r="A302" i="15" s="1"/>
  <c r="A332" i="14"/>
  <c r="A303" i="15" s="1"/>
  <c r="A333" i="14"/>
  <c r="A304" i="15" s="1"/>
  <c r="A334" i="14"/>
  <c r="A305" i="15" s="1"/>
  <c r="A335" i="14"/>
  <c r="A306" i="15" s="1"/>
  <c r="A336" i="14"/>
  <c r="A307" i="15" s="1"/>
  <c r="A337" i="14"/>
  <c r="A308" i="15" s="1"/>
  <c r="A338" i="14"/>
  <c r="A309" i="15" s="1"/>
  <c r="A339" i="14"/>
  <c r="A310" i="15" s="1"/>
  <c r="A340" i="14"/>
  <c r="A311" i="15" s="1"/>
  <c r="A341" i="14"/>
  <c r="A312" i="15" s="1"/>
  <c r="A342" i="14"/>
  <c r="A313" i="15" s="1"/>
  <c r="A343" i="14"/>
  <c r="A314" i="15" s="1"/>
  <c r="A344" i="14"/>
  <c r="A315" i="15" s="1"/>
  <c r="A345" i="14"/>
  <c r="A316" i="15" s="1"/>
  <c r="A346" i="14"/>
  <c r="A317" i="15" s="1"/>
  <c r="A347" i="14"/>
  <c r="A318" i="15" s="1"/>
  <c r="A348" i="14"/>
  <c r="A319" i="15" s="1"/>
  <c r="A349" i="14"/>
  <c r="A320" i="15" s="1"/>
  <c r="A350" i="14"/>
  <c r="A321" i="15" s="1"/>
  <c r="A351" i="14"/>
  <c r="A322" i="15" s="1"/>
  <c r="A352" i="14"/>
  <c r="A323" i="15" s="1"/>
  <c r="A353" i="14"/>
  <c r="A324" i="15" s="1"/>
  <c r="A354" i="14"/>
  <c r="A325" i="15" s="1"/>
  <c r="A355" i="14"/>
  <c r="A326" i="15" s="1"/>
  <c r="A356" i="14"/>
  <c r="A327" i="15" s="1"/>
  <c r="A357" i="14"/>
  <c r="A328" i="15" s="1"/>
  <c r="A358" i="14"/>
  <c r="A329" i="15" s="1"/>
  <c r="A359" i="14"/>
  <c r="A330" i="15" s="1"/>
  <c r="A360" i="14"/>
  <c r="A331" i="15" s="1"/>
  <c r="A361" i="14"/>
  <c r="A332" i="15" s="1"/>
  <c r="A362" i="14"/>
  <c r="A333" i="15" s="1"/>
  <c r="A363" i="14"/>
  <c r="A334" i="15" s="1"/>
  <c r="A364" i="14"/>
  <c r="A335" i="15" s="1"/>
  <c r="A365" i="14"/>
  <c r="A336" i="15" s="1"/>
  <c r="A366" i="14"/>
  <c r="A337" i="15" s="1"/>
  <c r="A367" i="14"/>
  <c r="A338" i="15" s="1"/>
  <c r="A368" i="14"/>
  <c r="A339" i="15" s="1"/>
  <c r="A369" i="14"/>
  <c r="A340" i="15" s="1"/>
  <c r="A370" i="14"/>
  <c r="A341" i="15" s="1"/>
  <c r="A371" i="14"/>
  <c r="A342" i="15" s="1"/>
  <c r="A372" i="14"/>
  <c r="A343" i="15" s="1"/>
  <c r="A373" i="14"/>
  <c r="A344" i="15" s="1"/>
  <c r="A374" i="14"/>
  <c r="A345" i="15" s="1"/>
  <c r="A375" i="14"/>
  <c r="A346" i="15" s="1"/>
  <c r="A376" i="14"/>
  <c r="A347" i="15" s="1"/>
  <c r="A377" i="14"/>
  <c r="A348" i="15" s="1"/>
  <c r="A378" i="14"/>
  <c r="A349" i="15" s="1"/>
  <c r="A379" i="14"/>
  <c r="A350" i="15" s="1"/>
  <c r="A380" i="14"/>
  <c r="A351" i="15" s="1"/>
  <c r="A381" i="14"/>
  <c r="A352" i="15" s="1"/>
  <c r="A382" i="14"/>
  <c r="A353" i="15" s="1"/>
  <c r="A383" i="14"/>
  <c r="A354" i="15" s="1"/>
  <c r="A384" i="14"/>
  <c r="A355" i="15" s="1"/>
  <c r="A385" i="14"/>
  <c r="A356" i="15" s="1"/>
  <c r="A386" i="14"/>
  <c r="A357" i="15" s="1"/>
  <c r="A387" i="14"/>
  <c r="A358" i="15" s="1"/>
  <c r="A388" i="14"/>
  <c r="A359" i="15" s="1"/>
  <c r="A389" i="14"/>
  <c r="A360" i="15" s="1"/>
  <c r="A390" i="14"/>
  <c r="A361" i="15" s="1"/>
  <c r="A391" i="14"/>
  <c r="A362" i="15" s="1"/>
  <c r="A392" i="14"/>
  <c r="A363" i="15" s="1"/>
  <c r="A393" i="14"/>
  <c r="A364" i="15" s="1"/>
  <c r="A394" i="14"/>
  <c r="A365" i="15" s="1"/>
  <c r="A395" i="14"/>
  <c r="A366" i="15" s="1"/>
  <c r="A396" i="14"/>
  <c r="A367" i="15" s="1"/>
  <c r="A397" i="14"/>
  <c r="A368" i="15" s="1"/>
  <c r="A398" i="14"/>
  <c r="A369" i="15" s="1"/>
  <c r="A399" i="14"/>
  <c r="A370" i="15" s="1"/>
  <c r="A400" i="14"/>
  <c r="A371" i="15" s="1"/>
  <c r="A401" i="14"/>
  <c r="A372" i="15" s="1"/>
  <c r="A402" i="14"/>
  <c r="A373" i="15" s="1"/>
  <c r="A403" i="14"/>
  <c r="A374" i="15" s="1"/>
  <c r="A404" i="14"/>
  <c r="A375" i="15" s="1"/>
  <c r="A405" i="14"/>
  <c r="A376" i="15" s="1"/>
  <c r="A406" i="14"/>
  <c r="A377" i="15" s="1"/>
  <c r="A407" i="14"/>
  <c r="A378" i="15" s="1"/>
  <c r="E191" i="15"/>
  <c r="E192" i="15"/>
  <c r="E193" i="15"/>
  <c r="E194" i="15"/>
  <c r="E195" i="15"/>
  <c r="A191" i="15"/>
  <c r="A192" i="15"/>
  <c r="A193" i="15"/>
  <c r="A194" i="15"/>
  <c r="A195" i="15"/>
  <c r="A196" i="15"/>
  <c r="C91" i="40" s="1"/>
  <c r="A197" i="15"/>
  <c r="C92" i="40" s="1"/>
  <c r="A198" i="15"/>
  <c r="C93" i="40" s="1"/>
  <c r="A199" i="15"/>
  <c r="C94" i="40" s="1"/>
  <c r="A200" i="15"/>
  <c r="C95" i="40" s="1"/>
  <c r="A201" i="15"/>
  <c r="C96" i="40" s="1"/>
  <c r="E220" i="14"/>
  <c r="E221" i="14"/>
  <c r="E222" i="14"/>
  <c r="E223" i="14"/>
  <c r="E224" i="14"/>
  <c r="A220" i="14"/>
  <c r="A221" i="14"/>
  <c r="A222" i="14"/>
  <c r="A223" i="14"/>
  <c r="A224" i="14"/>
  <c r="A225" i="14"/>
  <c r="C65" i="39" s="1"/>
  <c r="A226" i="14"/>
  <c r="C66" i="39" s="1"/>
  <c r="A227" i="14"/>
  <c r="C67" i="39" s="1"/>
  <c r="A228" i="14"/>
  <c r="C68" i="39" s="1"/>
  <c r="A229" i="14"/>
  <c r="A230" i="14"/>
  <c r="B267" i="31"/>
  <c r="B268" i="31"/>
  <c r="B269" i="31"/>
  <c r="B270" i="31"/>
  <c r="B271" i="31"/>
  <c r="B272" i="31"/>
  <c r="B196" i="15" s="1"/>
  <c r="B266" i="31"/>
  <c r="E18" i="39" l="1"/>
  <c r="E19" i="39"/>
  <c r="E20" i="39"/>
  <c r="E21" i="39"/>
  <c r="E45" i="39"/>
  <c r="C45" i="39"/>
  <c r="C46" i="39"/>
  <c r="C47" i="39"/>
  <c r="C48" i="39"/>
  <c r="C49" i="39"/>
  <c r="E88" i="38"/>
  <c r="C88" i="38"/>
  <c r="E183" i="15"/>
  <c r="A182" i="15"/>
  <c r="E212" i="14"/>
  <c r="E211" i="14"/>
  <c r="G211" i="14" s="1"/>
  <c r="G257" i="31"/>
  <c r="E118" i="39" l="1"/>
  <c r="E124" i="39"/>
  <c r="D60" i="39"/>
  <c r="D61" i="39"/>
  <c r="D62" i="39"/>
  <c r="D63" i="39"/>
  <c r="D64" i="39"/>
  <c r="D65" i="39"/>
  <c r="D66" i="39"/>
  <c r="D67" i="39"/>
  <c r="D68" i="39"/>
  <c r="D69" i="39"/>
  <c r="D70" i="39"/>
  <c r="D59" i="39"/>
  <c r="D93" i="38"/>
  <c r="D109" i="39" s="1"/>
  <c r="D135" i="40" s="1"/>
  <c r="D95" i="38"/>
  <c r="D111" i="39" s="1"/>
  <c r="D137" i="40" s="1"/>
  <c r="D96" i="38"/>
  <c r="D112" i="39" s="1"/>
  <c r="D138" i="40" s="1"/>
  <c r="D97" i="38"/>
  <c r="D113" i="39" s="1"/>
  <c r="D139" i="40" s="1"/>
  <c r="D98" i="38"/>
  <c r="D114" i="39" s="1"/>
  <c r="D140" i="40" s="1"/>
  <c r="D99" i="38"/>
  <c r="D115" i="39" s="1"/>
  <c r="D141" i="40" s="1"/>
  <c r="D100" i="38"/>
  <c r="D116" i="39" s="1"/>
  <c r="D142" i="40" s="1"/>
  <c r="D101" i="38"/>
  <c r="D117" i="39" s="1"/>
  <c r="D143" i="40" s="1"/>
  <c r="D102" i="38"/>
  <c r="D118" i="39" s="1"/>
  <c r="D144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C93" i="38"/>
  <c r="C109" i="39" s="1"/>
  <c r="C135" i="40" s="1"/>
  <c r="C95" i="38"/>
  <c r="C111" i="39" s="1"/>
  <c r="C137" i="40" s="1"/>
  <c r="C96" i="38"/>
  <c r="C112" i="39" s="1"/>
  <c r="C138" i="40" s="1"/>
  <c r="C97" i="38"/>
  <c r="C113" i="39" s="1"/>
  <c r="C139" i="40" s="1"/>
  <c r="C98" i="38"/>
  <c r="C114" i="39" s="1"/>
  <c r="C140" i="40" s="1"/>
  <c r="C99" i="38"/>
  <c r="C115" i="39" s="1"/>
  <c r="C141" i="40" s="1"/>
  <c r="C100" i="38"/>
  <c r="C116" i="39" s="1"/>
  <c r="C142" i="40" s="1"/>
  <c r="C101" i="38"/>
  <c r="C117" i="39" s="1"/>
  <c r="C143" i="40" s="1"/>
  <c r="C102" i="38"/>
  <c r="C118" i="39" s="1"/>
  <c r="C144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43" i="38"/>
  <c r="C44" i="38"/>
  <c r="C45" i="38"/>
  <c r="C46" i="38"/>
  <c r="C42" i="38"/>
  <c r="C40" i="38"/>
  <c r="C57" i="39" s="1"/>
  <c r="C83" i="40" s="1"/>
  <c r="A242" i="15" l="1"/>
  <c r="A241" i="15"/>
  <c r="B270" i="14"/>
  <c r="B271" i="14"/>
  <c r="A271" i="14"/>
  <c r="A270" i="14"/>
  <c r="E122" i="39" l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112" i="38"/>
  <c r="C128" i="39" s="1"/>
  <c r="C154" i="40" s="1"/>
  <c r="E190" i="15"/>
  <c r="B191" i="15"/>
  <c r="B192" i="15"/>
  <c r="B193" i="15"/>
  <c r="B194" i="15"/>
  <c r="B195" i="15"/>
  <c r="B190" i="15"/>
  <c r="C86" i="40"/>
  <c r="C87" i="40"/>
  <c r="C88" i="40"/>
  <c r="C89" i="40"/>
  <c r="C90" i="40"/>
  <c r="A190" i="15"/>
  <c r="C85" i="40" s="1"/>
  <c r="C60" i="39"/>
  <c r="C61" i="39"/>
  <c r="C62" i="39"/>
  <c r="C63" i="39"/>
  <c r="C64" i="39"/>
  <c r="A219" i="14"/>
  <c r="C59" i="39" s="1"/>
  <c r="A149" i="15"/>
  <c r="E222" i="15" l="1"/>
  <c r="F251" i="14"/>
  <c r="D40" i="38"/>
  <c r="D57" i="39" s="1"/>
  <c r="D83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C237" i="38"/>
  <c r="C253" i="39" s="1"/>
  <c r="C279" i="40" s="1"/>
  <c r="C235" i="38"/>
  <c r="C251" i="39" s="1"/>
  <c r="C277" i="40" s="1"/>
  <c r="C233" i="38"/>
  <c r="C249" i="39" s="1"/>
  <c r="C275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38" i="38"/>
  <c r="C254" i="39" s="1"/>
  <c r="C280" i="40" s="1"/>
  <c r="C236" i="38"/>
  <c r="C252" i="39" s="1"/>
  <c r="C278" i="40" s="1"/>
  <c r="C234" i="38"/>
  <c r="C250" i="39" s="1"/>
  <c r="C276" i="40" s="1"/>
  <c r="C232" i="38"/>
  <c r="C248" i="39" s="1"/>
  <c r="C274" i="40" s="1"/>
  <c r="A253" i="14" l="1"/>
  <c r="A255" i="14"/>
  <c r="A256" i="14"/>
  <c r="A257" i="14"/>
  <c r="A258" i="14"/>
  <c r="A259" i="14"/>
  <c r="A260" i="14"/>
  <c r="A261" i="14"/>
  <c r="A262" i="14"/>
  <c r="A265" i="14"/>
  <c r="A236" i="15" s="1"/>
  <c r="A266" i="14"/>
  <c r="A237" i="15" s="1"/>
  <c r="A267" i="14"/>
  <c r="A238" i="15" s="1"/>
  <c r="A268" i="14"/>
  <c r="A239" i="15" s="1"/>
  <c r="A269" i="14"/>
  <c r="A240" i="15" s="1"/>
  <c r="A272" i="14"/>
  <c r="A243" i="15" s="1"/>
  <c r="C94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16" i="39"/>
  <c r="A175" i="15"/>
  <c r="A174" i="15"/>
  <c r="A173" i="15"/>
  <c r="A172" i="15"/>
  <c r="A171" i="15"/>
  <c r="A204" i="14"/>
  <c r="A203" i="14"/>
  <c r="A202" i="14"/>
  <c r="A201" i="14"/>
  <c r="A200" i="14"/>
  <c r="C15" i="37"/>
  <c r="E145" i="15"/>
  <c r="E146" i="15"/>
  <c r="E147" i="15"/>
  <c r="E148" i="15"/>
  <c r="E144" i="15"/>
  <c r="B145" i="15"/>
  <c r="B146" i="15"/>
  <c r="B147" i="15"/>
  <c r="B148" i="15"/>
  <c r="B144" i="15"/>
  <c r="A148" i="15"/>
  <c r="A147" i="15"/>
  <c r="A146" i="15"/>
  <c r="A145" i="15"/>
  <c r="A144" i="15"/>
  <c r="C154" i="15"/>
  <c r="D154" i="15"/>
  <c r="E154" i="15"/>
  <c r="B154" i="15"/>
  <c r="C180" i="14"/>
  <c r="D180" i="14"/>
  <c r="E180" i="14"/>
  <c r="B180" i="14"/>
  <c r="F154" i="15"/>
  <c r="F49" i="15"/>
  <c r="F163" i="15" s="1"/>
  <c r="F50" i="15"/>
  <c r="F164" i="15" s="1"/>
  <c r="F51" i="15"/>
  <c r="F48" i="15"/>
  <c r="F162" i="15" s="1"/>
  <c r="D49" i="15"/>
  <c r="D163" i="15" s="1"/>
  <c r="D50" i="15"/>
  <c r="D164" i="15" s="1"/>
  <c r="D51" i="15"/>
  <c r="D48" i="15"/>
  <c r="D162" i="15" s="1"/>
  <c r="A51" i="15"/>
  <c r="A50" i="15"/>
  <c r="A164" i="15" s="1"/>
  <c r="A49" i="15"/>
  <c r="A163" i="15" s="1"/>
  <c r="A48" i="15"/>
  <c r="A162" i="15" s="1"/>
  <c r="F55" i="14"/>
  <c r="F192" i="14" s="1"/>
  <c r="F56" i="14"/>
  <c r="F193" i="14" s="1"/>
  <c r="F57" i="14"/>
  <c r="F54" i="14"/>
  <c r="F191" i="14" s="1"/>
  <c r="D55" i="14"/>
  <c r="D192" i="14" s="1"/>
  <c r="D56" i="14"/>
  <c r="D193" i="14" s="1"/>
  <c r="D57" i="14"/>
  <c r="D54" i="14"/>
  <c r="D191" i="14" s="1"/>
  <c r="A57" i="14"/>
  <c r="A56" i="14"/>
  <c r="A193" i="14" s="1"/>
  <c r="A55" i="14"/>
  <c r="A192" i="14" s="1"/>
  <c r="A54" i="14"/>
  <c r="A191" i="14" s="1"/>
  <c r="F238" i="31"/>
  <c r="F239" i="31"/>
  <c r="G239" i="31" s="1"/>
  <c r="F237" i="31"/>
  <c r="D238" i="31"/>
  <c r="D239" i="31"/>
  <c r="D237" i="31"/>
  <c r="A239" i="31"/>
  <c r="A238" i="31"/>
  <c r="A237" i="31"/>
  <c r="D93" i="15"/>
  <c r="A93" i="15"/>
  <c r="D9" i="15"/>
  <c r="D9" i="14"/>
  <c r="F14" i="31"/>
  <c r="D91" i="38" l="1"/>
  <c r="D107" i="39" s="1"/>
  <c r="D133" i="40" s="1"/>
  <c r="C91" i="38"/>
  <c r="C107" i="39" s="1"/>
  <c r="C133" i="40" s="1"/>
  <c r="A224" i="15" l="1"/>
  <c r="A226" i="15"/>
  <c r="A227" i="15"/>
  <c r="A228" i="15"/>
  <c r="A229" i="15"/>
  <c r="A230" i="15"/>
  <c r="A231" i="15"/>
  <c r="A232" i="15"/>
  <c r="A233" i="15"/>
  <c r="A251" i="14"/>
  <c r="A222" i="15" s="1"/>
  <c r="F180" i="14" l="1"/>
  <c r="E172" i="15"/>
  <c r="E173" i="15"/>
  <c r="E174" i="15"/>
  <c r="E175" i="15"/>
  <c r="E171" i="15"/>
  <c r="E201" i="14"/>
  <c r="E202" i="14"/>
  <c r="E203" i="14"/>
  <c r="E204" i="14"/>
  <c r="E200" i="14"/>
  <c r="F155" i="15" l="1"/>
  <c r="E150" i="14" l="1"/>
  <c r="F150" i="14" s="1"/>
  <c r="E149" i="14"/>
  <c r="F149" i="14" s="1"/>
  <c r="E133" i="15"/>
  <c r="F133" i="15" s="1"/>
  <c r="E134" i="15"/>
  <c r="F134" i="15" s="1"/>
  <c r="E135" i="15"/>
  <c r="F135" i="15" s="1"/>
  <c r="F136" i="15" l="1"/>
  <c r="I23" i="37" s="1"/>
  <c r="D151" i="14"/>
  <c r="E148" i="14"/>
  <c r="F148" i="14" s="1"/>
  <c r="F151" i="14" s="1"/>
  <c r="D136" i="15"/>
  <c r="E136" i="15"/>
  <c r="E151" i="14" l="1"/>
  <c r="B43" i="15" l="1"/>
  <c r="F13" i="14" l="1"/>
  <c r="F32" i="14"/>
  <c r="F33" i="14"/>
  <c r="F157" i="14"/>
  <c r="F158" i="14"/>
  <c r="F159" i="14"/>
  <c r="F160" i="14"/>
  <c r="F161" i="14"/>
  <c r="F34" i="14" l="1"/>
  <c r="F162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59" i="14"/>
  <c r="G158" i="14"/>
  <c r="B161" i="14"/>
  <c r="B160" i="14"/>
  <c r="B159" i="14"/>
  <c r="B158" i="14"/>
  <c r="E162" i="14"/>
  <c r="D162" i="14"/>
  <c r="G161" i="14"/>
  <c r="G160" i="14"/>
  <c r="B33" i="14"/>
  <c r="G32" i="14"/>
  <c r="E32" i="14"/>
  <c r="B36" i="31"/>
  <c r="G34" i="15" l="1"/>
  <c r="D33" i="15"/>
  <c r="E33" i="15" s="1"/>
  <c r="E34" i="15" s="1"/>
  <c r="B40" i="15"/>
  <c r="D33" i="14"/>
  <c r="E33" i="14" s="1"/>
  <c r="E34" i="14" s="1"/>
  <c r="B40" i="14"/>
  <c r="F40" i="14" s="1"/>
  <c r="B34" i="15"/>
  <c r="H32" i="15"/>
  <c r="H33" i="15"/>
  <c r="F34" i="15"/>
  <c r="H158" i="14"/>
  <c r="H159" i="14"/>
  <c r="H160" i="14"/>
  <c r="H161" i="14"/>
  <c r="G157" i="14"/>
  <c r="G162" i="14" s="1"/>
  <c r="B34" i="14"/>
  <c r="H32" i="14"/>
  <c r="E34" i="31"/>
  <c r="D34" i="15" l="1"/>
  <c r="D34" i="14"/>
  <c r="B41" i="15"/>
  <c r="F40" i="15"/>
  <c r="B41" i="14"/>
  <c r="H157" i="14"/>
  <c r="G33" i="14"/>
  <c r="G34" i="14" s="1"/>
  <c r="E35" i="31"/>
  <c r="E36" i="31" s="1"/>
  <c r="F34" i="31"/>
  <c r="D36" i="31"/>
  <c r="H33" i="14" l="1"/>
  <c r="F35" i="31"/>
  <c r="F36" i="31" s="1"/>
  <c r="D1" i="40" l="1"/>
  <c r="D1" i="39"/>
  <c r="C131" i="40" l="1"/>
  <c r="C125" i="40"/>
  <c r="C118" i="40"/>
  <c r="C117" i="40"/>
  <c r="C116" i="40"/>
  <c r="C115" i="40"/>
  <c r="C114" i="40"/>
  <c r="C113" i="40"/>
  <c r="C112" i="40"/>
  <c r="C86" i="39"/>
  <c r="C87" i="39"/>
  <c r="C88" i="39"/>
  <c r="C89" i="39"/>
  <c r="C90" i="39"/>
  <c r="C91" i="39"/>
  <c r="C92" i="39"/>
  <c r="C99" i="39"/>
  <c r="C105" i="39"/>
  <c r="C89" i="38" l="1"/>
  <c r="C82" i="38"/>
  <c r="C75" i="38" l="1"/>
  <c r="C74" i="38"/>
  <c r="C73" i="38"/>
  <c r="C72" i="38"/>
  <c r="C71" i="38"/>
  <c r="C70" i="38"/>
  <c r="C69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I26" i="15" s="1"/>
  <c r="A23" i="37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I26" i="14" s="1"/>
  <c r="A15" i="37" s="1"/>
  <c r="D26" i="31"/>
  <c r="E9" i="38" l="1"/>
  <c r="E26" i="31"/>
  <c r="D44" i="15" l="1"/>
  <c r="D49" i="31"/>
  <c r="G26" i="31"/>
  <c r="I26" i="31" s="1"/>
  <c r="I27" i="31" s="1"/>
  <c r="A8" i="37" s="1"/>
  <c r="A26" i="31"/>
  <c r="D51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G55" i="31" s="1"/>
  <c r="E53" i="31"/>
  <c r="E54" i="31"/>
  <c r="F182" i="31"/>
  <c r="D190" i="31" s="1"/>
  <c r="E50" i="15"/>
  <c r="E48" i="15"/>
  <c r="E51" i="15"/>
  <c r="G51" i="15" s="1"/>
  <c r="E49" i="15"/>
  <c r="F131" i="14"/>
  <c r="E54" i="14"/>
  <c r="E12" i="39" s="1"/>
  <c r="J23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89" i="15"/>
  <c r="D27" i="31"/>
  <c r="I6" i="36"/>
  <c r="G6" i="36"/>
  <c r="H6" i="36" s="1"/>
  <c r="I10" i="36"/>
  <c r="G10" i="36"/>
  <c r="H10" i="36" s="1"/>
  <c r="G7" i="36"/>
  <c r="H7" i="36" s="1"/>
  <c r="I7" i="36"/>
  <c r="E79" i="38" l="1"/>
  <c r="B209" i="31"/>
  <c r="D188" i="31"/>
  <c r="E77" i="38" s="1"/>
  <c r="G216" i="31"/>
  <c r="G217" i="31" s="1"/>
  <c r="D191" i="31"/>
  <c r="B150" i="14"/>
  <c r="B149" i="14"/>
  <c r="E190" i="31"/>
  <c r="G190" i="31" s="1"/>
  <c r="I190" i="31" s="1"/>
  <c r="D189" i="31"/>
  <c r="F165" i="14"/>
  <c r="D140" i="14"/>
  <c r="E97" i="39" s="1"/>
  <c r="D139" i="14"/>
  <c r="E96" i="39" s="1"/>
  <c r="D138" i="14"/>
  <c r="D137" i="14"/>
  <c r="E188" i="31"/>
  <c r="D96" i="15"/>
  <c r="E82" i="38"/>
  <c r="F221" i="31"/>
  <c r="E57" i="14"/>
  <c r="E55" i="14"/>
  <c r="E13" i="39" s="1"/>
  <c r="E56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95" i="15"/>
  <c r="I11" i="36"/>
  <c r="G8" i="36"/>
  <c r="H8" i="36" s="1"/>
  <c r="D12" i="36"/>
  <c r="D15" i="36" s="1"/>
  <c r="G9" i="36"/>
  <c r="H9" i="36" s="1"/>
  <c r="E93" i="15"/>
  <c r="F140" i="15"/>
  <c r="E94" i="15"/>
  <c r="B133" i="15" s="1"/>
  <c r="E96" i="15"/>
  <c r="F5" i="36"/>
  <c r="E12" i="36"/>
  <c r="B148" i="14" l="1"/>
  <c r="D174" i="14"/>
  <c r="E78" i="38"/>
  <c r="B208" i="31"/>
  <c r="E80" i="38"/>
  <c r="B210" i="31"/>
  <c r="E191" i="31"/>
  <c r="G191" i="31" s="1"/>
  <c r="I191" i="31" s="1"/>
  <c r="E138" i="14"/>
  <c r="G138" i="14" s="1"/>
  <c r="I138" i="14" s="1"/>
  <c r="E95" i="39"/>
  <c r="E137" i="14"/>
  <c r="G137" i="14" s="1"/>
  <c r="I137" i="14" s="1"/>
  <c r="E94" i="39"/>
  <c r="D148" i="15"/>
  <c r="F148" i="15" s="1"/>
  <c r="D146" i="15"/>
  <c r="F146" i="15" s="1"/>
  <c r="D147" i="15"/>
  <c r="F147" i="15" s="1"/>
  <c r="D234" i="31"/>
  <c r="D230" i="31" s="1"/>
  <c r="F230" i="31" s="1"/>
  <c r="D228" i="31"/>
  <c r="F228" i="31" s="1"/>
  <c r="D229" i="31"/>
  <c r="F229" i="31" s="1"/>
  <c r="D227" i="31"/>
  <c r="F227" i="31" s="1"/>
  <c r="E189" i="31"/>
  <c r="G189" i="31" s="1"/>
  <c r="I189" i="31" s="1"/>
  <c r="F174" i="14"/>
  <c r="D172" i="14"/>
  <c r="D173" i="14"/>
  <c r="F173" i="14" s="1"/>
  <c r="D171" i="14"/>
  <c r="F171" i="14" s="1"/>
  <c r="D169" i="14"/>
  <c r="F169" i="14" s="1"/>
  <c r="D170" i="14"/>
  <c r="F170" i="14" s="1"/>
  <c r="E140" i="14"/>
  <c r="D95" i="15"/>
  <c r="E99" i="39"/>
  <c r="E139" i="14"/>
  <c r="D94" i="15"/>
  <c r="G188" i="31"/>
  <c r="I188" i="31" s="1"/>
  <c r="E57" i="39"/>
  <c r="E123" i="40"/>
  <c r="B135" i="15"/>
  <c r="E122" i="40"/>
  <c r="B134" i="15"/>
  <c r="E120" i="40"/>
  <c r="E125" i="40" s="1"/>
  <c r="E121" i="40"/>
  <c r="G56" i="31"/>
  <c r="B8" i="37" s="1"/>
  <c r="D226" i="31"/>
  <c r="F226" i="31" s="1"/>
  <c r="D225" i="31"/>
  <c r="F225" i="31" s="1"/>
  <c r="D144" i="15"/>
  <c r="F144" i="15" s="1"/>
  <c r="D145" i="15"/>
  <c r="F145" i="15" s="1"/>
  <c r="G154" i="15"/>
  <c r="G155" i="15" s="1"/>
  <c r="G52" i="15"/>
  <c r="D187" i="14"/>
  <c r="D158" i="15"/>
  <c r="I5" i="36"/>
  <c r="F12" i="36"/>
  <c r="I12" i="36" s="1"/>
  <c r="G5" i="36"/>
  <c r="G12" i="36" s="1"/>
  <c r="E163" i="15" l="1"/>
  <c r="E164" i="15"/>
  <c r="E162" i="15"/>
  <c r="E191" i="14"/>
  <c r="E101" i="39" s="1"/>
  <c r="E192" i="14"/>
  <c r="E193" i="14"/>
  <c r="D149" i="15"/>
  <c r="F149" i="15" s="1"/>
  <c r="D242" i="31"/>
  <c r="D250" i="31" s="1"/>
  <c r="G250" i="31" s="1"/>
  <c r="E237" i="31"/>
  <c r="E84" i="38" s="1"/>
  <c r="E40" i="38"/>
  <c r="E53" i="39"/>
  <c r="D249" i="31"/>
  <c r="G249" i="31" s="1"/>
  <c r="E52" i="39"/>
  <c r="E56" i="39"/>
  <c r="F231" i="31"/>
  <c r="I192" i="31"/>
  <c r="F172" i="14"/>
  <c r="E55" i="39"/>
  <c r="E102" i="39"/>
  <c r="G193" i="14"/>
  <c r="G139" i="14"/>
  <c r="I139" i="14" s="1"/>
  <c r="G140" i="14"/>
  <c r="I140" i="14" s="1"/>
  <c r="E83" i="40"/>
  <c r="E38" i="38"/>
  <c r="E82" i="40"/>
  <c r="E37" i="38"/>
  <c r="E36" i="38"/>
  <c r="E39" i="38"/>
  <c r="E35" i="38"/>
  <c r="E79" i="40"/>
  <c r="E127" i="40"/>
  <c r="E131" i="40" s="1"/>
  <c r="E80" i="40"/>
  <c r="E81" i="40"/>
  <c r="G180" i="14"/>
  <c r="G181" i="14" s="1"/>
  <c r="E78" i="40"/>
  <c r="G238" i="31"/>
  <c r="E85" i="38"/>
  <c r="E86" i="38"/>
  <c r="D196" i="14"/>
  <c r="D167" i="15"/>
  <c r="H5" i="36"/>
  <c r="H12" i="36" s="1"/>
  <c r="K49" i="31" l="1"/>
  <c r="K52" i="31" s="1"/>
  <c r="I8" i="37"/>
  <c r="N7" i="37" s="1"/>
  <c r="D172" i="15"/>
  <c r="D171" i="15"/>
  <c r="E112" i="40" s="1"/>
  <c r="D201" i="14"/>
  <c r="D200" i="14"/>
  <c r="D247" i="31"/>
  <c r="E72" i="38"/>
  <c r="G237" i="31"/>
  <c r="D253" i="31"/>
  <c r="D262" i="31" s="1"/>
  <c r="D248" i="31"/>
  <c r="G248" i="31" s="1"/>
  <c r="D246" i="31"/>
  <c r="D203" i="14"/>
  <c r="D204" i="14"/>
  <c r="G204" i="14" s="1"/>
  <c r="D202" i="14"/>
  <c r="D174" i="15"/>
  <c r="D175" i="15"/>
  <c r="G175" i="15" s="1"/>
  <c r="D173" i="15"/>
  <c r="E103" i="39"/>
  <c r="I141" i="14"/>
  <c r="D8" i="37"/>
  <c r="F150" i="15"/>
  <c r="G162" i="15"/>
  <c r="G247" i="31"/>
  <c r="E70" i="38"/>
  <c r="E74" i="38"/>
  <c r="E75" i="38"/>
  <c r="E73" i="38"/>
  <c r="D207" i="14"/>
  <c r="D215" i="14" s="1"/>
  <c r="N23" i="37"/>
  <c r="J25" i="15"/>
  <c r="G163" i="15"/>
  <c r="E128" i="40"/>
  <c r="G164" i="15"/>
  <c r="E129" i="40"/>
  <c r="D178" i="15"/>
  <c r="D280" i="31" l="1"/>
  <c r="F280" i="31" s="1"/>
  <c r="D291" i="31"/>
  <c r="F291" i="31" s="1"/>
  <c r="D286" i="31"/>
  <c r="F286" i="31" s="1"/>
  <c r="D284" i="31"/>
  <c r="F284" i="31" s="1"/>
  <c r="D282" i="31"/>
  <c r="F282" i="31" s="1"/>
  <c r="D287" i="31"/>
  <c r="F287" i="31" s="1"/>
  <c r="D289" i="31"/>
  <c r="F289" i="31" s="1"/>
  <c r="D278" i="31"/>
  <c r="F278" i="31" s="1"/>
  <c r="D290" i="31"/>
  <c r="F290" i="31" s="1"/>
  <c r="D285" i="31"/>
  <c r="F285" i="31" s="1"/>
  <c r="D281" i="31"/>
  <c r="F281" i="31" s="1"/>
  <c r="D283" i="31"/>
  <c r="F283" i="31" s="1"/>
  <c r="D288" i="31"/>
  <c r="F288" i="31" s="1"/>
  <c r="D279" i="31"/>
  <c r="F279" i="31" s="1"/>
  <c r="D277" i="31"/>
  <c r="F277" i="31" s="1"/>
  <c r="D274" i="31"/>
  <c r="D272" i="31"/>
  <c r="D270" i="31"/>
  <c r="D268" i="31"/>
  <c r="D266" i="31"/>
  <c r="D275" i="31"/>
  <c r="D273" i="31"/>
  <c r="F273" i="31" s="1"/>
  <c r="D271" i="31"/>
  <c r="D269" i="31"/>
  <c r="F269" i="31" s="1"/>
  <c r="D267" i="31"/>
  <c r="G165" i="15"/>
  <c r="B23" i="37" s="1"/>
  <c r="I15" i="37"/>
  <c r="J26" i="14"/>
  <c r="J51" i="14" s="1"/>
  <c r="E71" i="38"/>
  <c r="D258" i="31"/>
  <c r="E89" i="38" s="1"/>
  <c r="E69" i="38"/>
  <c r="G246" i="31"/>
  <c r="G251" i="31" s="1"/>
  <c r="G8" i="37" s="1"/>
  <c r="F271" i="31"/>
  <c r="F267" i="31"/>
  <c r="E66" i="39"/>
  <c r="E69" i="39"/>
  <c r="F274" i="31"/>
  <c r="F276" i="31"/>
  <c r="F270" i="31"/>
  <c r="F268" i="31"/>
  <c r="F275" i="31"/>
  <c r="E68" i="39"/>
  <c r="E67" i="39"/>
  <c r="A294" i="31"/>
  <c r="E61" i="39"/>
  <c r="G174" i="15"/>
  <c r="E115" i="40"/>
  <c r="G172" i="15"/>
  <c r="E113" i="40"/>
  <c r="G173" i="15"/>
  <c r="E114" i="40"/>
  <c r="G203" i="14"/>
  <c r="E89" i="39"/>
  <c r="G200" i="14"/>
  <c r="E86" i="39"/>
  <c r="E90" i="39"/>
  <c r="G201" i="14"/>
  <c r="E87" i="39"/>
  <c r="E91" i="39"/>
  <c r="G202" i="14"/>
  <c r="E88" i="39"/>
  <c r="E92" i="39"/>
  <c r="A247" i="14"/>
  <c r="G171" i="15"/>
  <c r="D186" i="15"/>
  <c r="D183" i="15"/>
  <c r="G183" i="15" s="1"/>
  <c r="G258" i="31" l="1"/>
  <c r="F272" i="31"/>
  <c r="F299" i="31"/>
  <c r="F301" i="31"/>
  <c r="F303" i="31"/>
  <c r="F305" i="31"/>
  <c r="F307" i="31"/>
  <c r="F300" i="31"/>
  <c r="F302" i="31"/>
  <c r="F304" i="31"/>
  <c r="F306" i="31"/>
  <c r="F337" i="31"/>
  <c r="F335" i="31"/>
  <c r="F333" i="31"/>
  <c r="F331" i="31"/>
  <c r="F329" i="31"/>
  <c r="F327" i="31"/>
  <c r="F325" i="31"/>
  <c r="F323" i="31"/>
  <c r="F321" i="31"/>
  <c r="F319" i="31"/>
  <c r="F317" i="31"/>
  <c r="F310" i="31"/>
  <c r="F308" i="31"/>
  <c r="F336" i="31"/>
  <c r="F334" i="31"/>
  <c r="F332" i="31"/>
  <c r="F330" i="31"/>
  <c r="F328" i="31"/>
  <c r="F326" i="31"/>
  <c r="F324" i="31"/>
  <c r="F322" i="31"/>
  <c r="F320" i="31"/>
  <c r="F318" i="31"/>
  <c r="F313" i="31"/>
  <c r="F309" i="31"/>
  <c r="F190" i="15"/>
  <c r="E111" i="39"/>
  <c r="E130" i="39"/>
  <c r="E132" i="39"/>
  <c r="E134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129" i="39"/>
  <c r="E131" i="39"/>
  <c r="E133" i="39"/>
  <c r="E135" i="39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64" i="39"/>
  <c r="E70" i="39"/>
  <c r="E89" i="40"/>
  <c r="E96" i="40"/>
  <c r="E92" i="40"/>
  <c r="E90" i="40"/>
  <c r="E88" i="40"/>
  <c r="E86" i="40"/>
  <c r="E91" i="40"/>
  <c r="E87" i="40"/>
  <c r="G259" i="31"/>
  <c r="H8" i="37" s="1"/>
  <c r="G184" i="15"/>
  <c r="H23" i="37" s="1"/>
  <c r="F220" i="14"/>
  <c r="E60" i="39"/>
  <c r="F225" i="14"/>
  <c r="E65" i="39"/>
  <c r="E128" i="39"/>
  <c r="E117" i="39"/>
  <c r="E123" i="39"/>
  <c r="E112" i="39"/>
  <c r="F222" i="14"/>
  <c r="E62" i="39"/>
  <c r="F219" i="14"/>
  <c r="E59" i="39"/>
  <c r="F223" i="14"/>
  <c r="E63" i="39"/>
  <c r="F226" i="14"/>
  <c r="E42" i="38"/>
  <c r="F266" i="31"/>
  <c r="E114" i="38"/>
  <c r="E118" i="38"/>
  <c r="E122" i="38"/>
  <c r="E126" i="38"/>
  <c r="E130" i="38"/>
  <c r="E132" i="38"/>
  <c r="E134" i="38"/>
  <c r="E136" i="38"/>
  <c r="E138" i="38"/>
  <c r="E140" i="38"/>
  <c r="E142" i="38"/>
  <c r="E144" i="38"/>
  <c r="E146" i="38"/>
  <c r="E148" i="38"/>
  <c r="E150" i="38"/>
  <c r="E152" i="38"/>
  <c r="E154" i="38"/>
  <c r="E156" i="38"/>
  <c r="E158" i="38"/>
  <c r="E160" i="38"/>
  <c r="E162" i="38"/>
  <c r="E164" i="38"/>
  <c r="E166" i="38"/>
  <c r="E168" i="38"/>
  <c r="E170" i="38"/>
  <c r="E172" i="38"/>
  <c r="E174" i="38"/>
  <c r="E176" i="38"/>
  <c r="E178" i="38"/>
  <c r="E180" i="38"/>
  <c r="E182" i="38"/>
  <c r="E184" i="38"/>
  <c r="E186" i="38"/>
  <c r="E188" i="38"/>
  <c r="E190" i="38"/>
  <c r="E192" i="38"/>
  <c r="E194" i="38"/>
  <c r="E196" i="38"/>
  <c r="E198" i="38"/>
  <c r="E200" i="38"/>
  <c r="E202" i="38"/>
  <c r="E204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115" i="38"/>
  <c r="E131" i="38"/>
  <c r="E135" i="38"/>
  <c r="E139" i="38"/>
  <c r="E143" i="38"/>
  <c r="E147" i="38"/>
  <c r="E151" i="38"/>
  <c r="E155" i="38"/>
  <c r="E159" i="38"/>
  <c r="E163" i="38"/>
  <c r="E167" i="38"/>
  <c r="E171" i="38"/>
  <c r="E175" i="38"/>
  <c r="E179" i="38"/>
  <c r="E183" i="38"/>
  <c r="E187" i="38"/>
  <c r="E191" i="38"/>
  <c r="E195" i="38"/>
  <c r="E199" i="38"/>
  <c r="E203" i="38"/>
  <c r="E207" i="38"/>
  <c r="E211" i="38"/>
  <c r="E215" i="38"/>
  <c r="E219" i="38"/>
  <c r="E223" i="38"/>
  <c r="E227" i="38"/>
  <c r="E231" i="38"/>
  <c r="E235" i="38"/>
  <c r="E133" i="38"/>
  <c r="E137" i="38"/>
  <c r="E141" i="38"/>
  <c r="E145" i="38"/>
  <c r="E149" i="38"/>
  <c r="E153" i="38"/>
  <c r="E157" i="38"/>
  <c r="E161" i="38"/>
  <c r="E165" i="38"/>
  <c r="E169" i="38"/>
  <c r="E173" i="38"/>
  <c r="E177" i="38"/>
  <c r="E181" i="38"/>
  <c r="E185" i="38"/>
  <c r="E189" i="38"/>
  <c r="E193" i="38"/>
  <c r="E197" i="38"/>
  <c r="E201" i="38"/>
  <c r="E205" i="38"/>
  <c r="E209" i="38"/>
  <c r="E213" i="38"/>
  <c r="E217" i="38"/>
  <c r="E221" i="38"/>
  <c r="E225" i="38"/>
  <c r="E229" i="38"/>
  <c r="E233" i="38"/>
  <c r="E237" i="38"/>
  <c r="E107" i="38"/>
  <c r="F269" i="14"/>
  <c r="F268" i="14"/>
  <c r="F266" i="14"/>
  <c r="F262" i="14"/>
  <c r="F221" i="14"/>
  <c r="F224" i="14"/>
  <c r="G205" i="14"/>
  <c r="E116" i="40"/>
  <c r="E118" i="40"/>
  <c r="E117" i="40"/>
  <c r="A218" i="15"/>
  <c r="E128" i="38" l="1"/>
  <c r="E124" i="38"/>
  <c r="E120" i="38"/>
  <c r="E116" i="38"/>
  <c r="E113" i="38"/>
  <c r="E123" i="38"/>
  <c r="E97" i="38"/>
  <c r="E93" i="38"/>
  <c r="E127" i="38"/>
  <c r="E119" i="38"/>
  <c r="E106" i="38"/>
  <c r="E121" i="38"/>
  <c r="E101" i="38"/>
  <c r="E112" i="38"/>
  <c r="E125" i="38"/>
  <c r="E117" i="38"/>
  <c r="E95" i="38"/>
  <c r="F292" i="31"/>
  <c r="E8" i="37" s="1"/>
  <c r="F255" i="14"/>
  <c r="E92" i="38"/>
  <c r="E94" i="38"/>
  <c r="F252" i="14"/>
  <c r="E108" i="39"/>
  <c r="F263" i="14"/>
  <c r="E119" i="39"/>
  <c r="F264" i="14"/>
  <c r="E120" i="39"/>
  <c r="F254" i="14"/>
  <c r="E110" i="39"/>
  <c r="E137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F272" i="14"/>
  <c r="F275" i="14"/>
  <c r="F274" i="14"/>
  <c r="E154" i="40"/>
  <c r="E149" i="40"/>
  <c r="E144" i="40"/>
  <c r="E138" i="40"/>
  <c r="F240" i="15"/>
  <c r="E148" i="40"/>
  <c r="E143" i="40"/>
  <c r="F192" i="15"/>
  <c r="F196" i="15"/>
  <c r="F191" i="15"/>
  <c r="F195" i="15"/>
  <c r="E85" i="40"/>
  <c r="F194" i="15"/>
  <c r="F193" i="15"/>
  <c r="F197" i="15"/>
  <c r="E93" i="40"/>
  <c r="F256" i="14"/>
  <c r="F261" i="14"/>
  <c r="F267" i="14"/>
  <c r="F273" i="14"/>
  <c r="F228" i="14"/>
  <c r="F260" i="14"/>
  <c r="E116" i="39"/>
  <c r="F257" i="14"/>
  <c r="E113" i="39"/>
  <c r="F253" i="14"/>
  <c r="E109" i="39"/>
  <c r="F258" i="14"/>
  <c r="E114" i="39"/>
  <c r="F259" i="14"/>
  <c r="E115" i="39"/>
  <c r="F265" i="14"/>
  <c r="E121" i="39"/>
  <c r="F229" i="14"/>
  <c r="E125" i="39"/>
  <c r="E100" i="38"/>
  <c r="E109" i="38"/>
  <c r="E108" i="38"/>
  <c r="E241" i="38"/>
  <c r="E129" i="38"/>
  <c r="E111" i="38"/>
  <c r="E247" i="38"/>
  <c r="E239" i="38"/>
  <c r="E246" i="38"/>
  <c r="E242" i="38"/>
  <c r="E238" i="38"/>
  <c r="E99" i="38"/>
  <c r="E96" i="38"/>
  <c r="E98" i="38"/>
  <c r="E245" i="38"/>
  <c r="E110" i="38"/>
  <c r="E243" i="38"/>
  <c r="E244" i="38"/>
  <c r="E240" i="38"/>
  <c r="F230" i="14"/>
  <c r="F351" i="14"/>
  <c r="F347" i="14"/>
  <c r="F343" i="14"/>
  <c r="F339" i="14"/>
  <c r="F335" i="14"/>
  <c r="F331" i="14"/>
  <c r="F327" i="14"/>
  <c r="F323" i="14"/>
  <c r="F319" i="14"/>
  <c r="F315" i="14"/>
  <c r="F311" i="14"/>
  <c r="F359" i="14"/>
  <c r="F355" i="14"/>
  <c r="F367" i="14"/>
  <c r="F363" i="14"/>
  <c r="F368" i="14"/>
  <c r="F348" i="14"/>
  <c r="F344" i="14"/>
  <c r="F340" i="14"/>
  <c r="F336" i="14"/>
  <c r="F332" i="14"/>
  <c r="F328" i="14"/>
  <c r="F324" i="14"/>
  <c r="F320" i="14"/>
  <c r="F316" i="14"/>
  <c r="F312" i="14"/>
  <c r="F360" i="14"/>
  <c r="F356" i="14"/>
  <c r="F352" i="14"/>
  <c r="F364" i="14"/>
  <c r="F369" i="14"/>
  <c r="F227" i="14"/>
  <c r="F349" i="14"/>
  <c r="F345" i="14"/>
  <c r="F341" i="14"/>
  <c r="F337" i="14"/>
  <c r="F333" i="14"/>
  <c r="F329" i="14"/>
  <c r="F325" i="14"/>
  <c r="F321" i="14"/>
  <c r="F317" i="14"/>
  <c r="F313" i="14"/>
  <c r="F309" i="14"/>
  <c r="F357" i="14"/>
  <c r="F353" i="14"/>
  <c r="F365" i="14"/>
  <c r="F361" i="14"/>
  <c r="F350" i="14"/>
  <c r="F346" i="14"/>
  <c r="F342" i="14"/>
  <c r="F338" i="14"/>
  <c r="F334" i="14"/>
  <c r="F330" i="14"/>
  <c r="F326" i="14"/>
  <c r="F322" i="14"/>
  <c r="F318" i="14"/>
  <c r="F314" i="14"/>
  <c r="F310" i="14"/>
  <c r="F358" i="14"/>
  <c r="F354" i="14"/>
  <c r="F366" i="14"/>
  <c r="F362" i="14"/>
  <c r="G176" i="15"/>
  <c r="G23" i="37" s="1"/>
  <c r="E107" i="39"/>
  <c r="F307" i="14"/>
  <c r="F303" i="14"/>
  <c r="F299" i="14"/>
  <c r="F295" i="14"/>
  <c r="F291" i="14"/>
  <c r="F287" i="14"/>
  <c r="F283" i="14"/>
  <c r="F279" i="14"/>
  <c r="F308" i="14"/>
  <c r="F304" i="14"/>
  <c r="F300" i="14"/>
  <c r="F296" i="14"/>
  <c r="F292" i="14"/>
  <c r="F288" i="14"/>
  <c r="F284" i="14"/>
  <c r="F280" i="14"/>
  <c r="F277" i="14"/>
  <c r="F305" i="14"/>
  <c r="F301" i="14"/>
  <c r="F297" i="14"/>
  <c r="F293" i="14"/>
  <c r="F289" i="14"/>
  <c r="F285" i="14"/>
  <c r="F281" i="14"/>
  <c r="F276" i="14"/>
  <c r="F306" i="14"/>
  <c r="F302" i="14"/>
  <c r="F298" i="14"/>
  <c r="F294" i="14"/>
  <c r="F290" i="14"/>
  <c r="F286" i="14"/>
  <c r="F282" i="14"/>
  <c r="F278" i="14"/>
  <c r="E91" i="38"/>
  <c r="F298" i="31"/>
  <c r="F245" i="14" l="1"/>
  <c r="E103" i="38"/>
  <c r="E136" i="40"/>
  <c r="F225" i="15"/>
  <c r="E146" i="40"/>
  <c r="F235" i="15"/>
  <c r="E145" i="40"/>
  <c r="F234" i="15"/>
  <c r="E134" i="40"/>
  <c r="F223" i="15"/>
  <c r="F226" i="15"/>
  <c r="F227" i="15"/>
  <c r="F238" i="15"/>
  <c r="F243" i="15"/>
  <c r="F237" i="15"/>
  <c r="F228" i="15"/>
  <c r="E139" i="40"/>
  <c r="F231" i="15"/>
  <c r="E142" i="40"/>
  <c r="F239" i="15"/>
  <c r="E150" i="40"/>
  <c r="F230" i="15"/>
  <c r="E141" i="40"/>
  <c r="F236" i="15"/>
  <c r="E147" i="40"/>
  <c r="E151" i="40"/>
  <c r="F336" i="15"/>
  <c r="F328" i="15"/>
  <c r="F320" i="15"/>
  <c r="F312" i="15"/>
  <c r="F304" i="15"/>
  <c r="F296" i="15"/>
  <c r="F288" i="15"/>
  <c r="F280" i="15"/>
  <c r="F272" i="15"/>
  <c r="F264" i="15"/>
  <c r="F256" i="15"/>
  <c r="F248" i="15"/>
  <c r="F334" i="15"/>
  <c r="F326" i="15"/>
  <c r="F318" i="15"/>
  <c r="F310" i="15"/>
  <c r="F302" i="15"/>
  <c r="F294" i="15"/>
  <c r="F286" i="15"/>
  <c r="F278" i="15"/>
  <c r="F270" i="15"/>
  <c r="F262" i="15"/>
  <c r="F254" i="15"/>
  <c r="F246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24" i="15"/>
  <c r="E135" i="40"/>
  <c r="F229" i="15"/>
  <c r="E140" i="40"/>
  <c r="F233" i="15"/>
  <c r="F232" i="15"/>
  <c r="F198" i="15"/>
  <c r="E95" i="40"/>
  <c r="E94" i="40"/>
  <c r="F340" i="15"/>
  <c r="F332" i="15"/>
  <c r="F324" i="15"/>
  <c r="F316" i="15"/>
  <c r="F308" i="15"/>
  <c r="F300" i="15"/>
  <c r="F292" i="15"/>
  <c r="F284" i="15"/>
  <c r="F276" i="15"/>
  <c r="F268" i="15"/>
  <c r="F260" i="15"/>
  <c r="F252" i="15"/>
  <c r="F244" i="15"/>
  <c r="F338" i="15"/>
  <c r="F330" i="15"/>
  <c r="F322" i="15"/>
  <c r="F314" i="15"/>
  <c r="F306" i="15"/>
  <c r="F298" i="15"/>
  <c r="F290" i="15"/>
  <c r="F282" i="15"/>
  <c r="F274" i="15"/>
  <c r="F266" i="15"/>
  <c r="F258" i="15"/>
  <c r="F250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E127" i="39"/>
  <c r="F271" i="14"/>
  <c r="E126" i="39"/>
  <c r="F270" i="14"/>
  <c r="F408" i="14" s="1"/>
  <c r="J15" i="37" s="1"/>
  <c r="E102" i="38"/>
  <c r="E133" i="40"/>
  <c r="F222" i="15"/>
  <c r="F200" i="15" l="1"/>
  <c r="F199" i="15"/>
  <c r="F201" i="15"/>
  <c r="E152" i="40"/>
  <c r="F241" i="15"/>
  <c r="E105" i="38"/>
  <c r="F455" i="31"/>
  <c r="J8" i="37" s="1"/>
  <c r="E54" i="39"/>
  <c r="E153" i="40" l="1"/>
  <c r="F242" i="15"/>
  <c r="F379" i="15" s="1"/>
  <c r="J23" i="37" s="1"/>
  <c r="F216" i="15"/>
  <c r="E23" i="37" s="1"/>
  <c r="E15" i="37"/>
  <c r="F175" i="14"/>
  <c r="D212" i="14"/>
  <c r="G212" i="14" l="1"/>
  <c r="E105" i="39"/>
  <c r="G192" i="14"/>
  <c r="G191" i="14"/>
  <c r="G56" i="14"/>
  <c r="G55" i="14"/>
  <c r="G54" i="14"/>
  <c r="G213" i="14" l="1"/>
  <c r="H15" i="37" s="1"/>
  <c r="K8" i="37"/>
  <c r="G194" i="14"/>
  <c r="B15" i="37" s="1"/>
  <c r="G15" i="37" l="1"/>
  <c r="N15" i="37" l="1"/>
  <c r="O11" i="37" s="1"/>
  <c r="A1" i="15"/>
  <c r="A1" i="31" s="1"/>
  <c r="D12" i="14" l="1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<sst xmlns="http://schemas.openxmlformats.org/spreadsheetml/2006/main" count="1946" uniqueCount="601">
  <si>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</si>
  <si>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</si>
  <si>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</si>
  <si>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</si>
  <si>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</si>
  <si>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</si>
  <si>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</si>
  <si>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</si>
  <si>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</si>
  <si>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</si>
  <si>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</si>
  <si>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</si>
  <si>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</si>
  <si>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</si>
  <si>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</si>
  <si>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</si>
  <si>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</si>
  <si>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</si>
  <si>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</si>
  <si>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</si>
  <si>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</si>
  <si>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</si>
  <si>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</si>
  <si>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</si>
  <si>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</si>
  <si>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</si>
  <si>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</si>
  <si>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</si>
  <si>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</si>
  <si>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</si>
  <si>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</si>
  <si>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</si>
  <si>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</si>
  <si>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</si>
  <si>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</si>
  <si>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</si>
  <si>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</si>
  <si>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</si>
  <si>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</si>
  <si>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</si>
  <si>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</si>
  <si>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</si>
  <si>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</si>
  <si>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</si>
  <si>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</si>
  <si>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</si>
  <si>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</si>
  <si>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</si>
  <si>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</si>
  <si>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</si>
  <si>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</si>
  <si>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</si>
  <si>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</si>
  <si>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</si>
  <si>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</si>
  <si>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</si>
  <si>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</si>
  <si>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</si>
  <si>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</si>
  <si>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</si>
  <si>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</si>
  <si>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</si>
  <si>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</si>
  <si>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</si>
  <si>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</si>
  <si>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</si>
  <si>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</si>
  <si>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</si>
  <si>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</si>
  <si>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</si>
  <si>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</si>
  <si>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</si>
  <si>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</si>
  <si>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</si>
  <si>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</si>
  <si>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</si>
  <si>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</si>
  <si>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</si>
  <si>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</si>
  <si>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</si>
  <si>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</si>
  <si>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</si>
  <si>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</si>
  <si>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</si>
  <si>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</si>
  <si>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</si>
  <si>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</si>
  <si>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</si>
  <si>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</si>
  <si>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</si>
  <si>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</si>
  <si>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</si>
  <si>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</si>
  <si>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</si>
  <si>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</si>
  <si>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</si>
  <si>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</si>
  <si>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</si>
  <si>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</si>
  <si>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</si>
  <si>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</si>
  <si>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</si>
  <si>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</si>
  <si>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</si>
  <si>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</si>
  <si>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</si>
  <si>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</si>
  <si>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</si>
  <si>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</si>
  <si>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</si>
  <si>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</si>
  <si>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</si>
  <si>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</si>
  <si>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</si>
  <si>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</si>
  <si>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</si>
  <si>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</si>
  <si>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</si>
  <si>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</si>
  <si>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</si>
  <si>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</si>
  <si>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</si>
  <si>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</si>
  <si>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</si>
  <si>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</si>
  <si>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</si>
  <si>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</si>
  <si>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</si>
  <si>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</si>
  <si>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</si>
  <si>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</si>
  <si>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</si>
  <si>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</si>
  <si>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</si>
  <si>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</si>
  <si>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</si>
  <si>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</si>
  <si>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</si>
  <si>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</si>
  <si>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</si>
  <si>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</si>
  <si>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</si>
  <si>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</si>
  <si>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</si>
  <si>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</si>
  <si>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</si>
  <si>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</si>
  <si>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</si>
  <si>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</si>
  <si>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</si>
  <si>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</si>
  <si>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</si>
  <si>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</si>
  <si>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</si>
  <si>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</si>
  <si>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</si>
  <si>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</si>
  <si>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</si>
  <si>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</si>
  <si>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</si>
  <si>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</si>
  <si>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</si>
  <si>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</si>
  <si>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</si>
  <si>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</si>
  <si>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</si>
  <si>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</si>
  <si>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</si>
  <si>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</si>
  <si>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</si>
  <si>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</si>
  <si>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</si>
  <si>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</si>
  <si>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</si>
  <si>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</si>
  <si>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</si>
  <si>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</si>
  <si>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</si>
  <si>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</si>
  <si>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</si>
  <si>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</si>
  <si>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</si>
  <si>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</si>
  <si>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</si>
  <si>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</si>
  <si>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</si>
  <si>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</si>
  <si>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</si>
  <si>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</si>
  <si>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</si>
  <si>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</si>
  <si>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</si>
  <si>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</si>
  <si>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</si>
  <si>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</si>
  <si>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</si>
  <si>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</si>
  <si>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</si>
  <si>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</si>
  <si>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</si>
  <si>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</si>
  <si>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</si>
  <si>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</si>
  <si>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</si>
  <si>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</si>
  <si>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</si>
  <si>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</si>
  <si>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</si>
  <si>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</si>
  <si>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ТКО</t>
  </si>
  <si>
    <t>Проезд к месту учебы</t>
  </si>
  <si>
    <t>Договор осмотр технического состояния автомобиля</t>
  </si>
  <si>
    <t>обучение персонала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</si>
  <si>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</si>
  <si>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</si>
  <si>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</si>
  <si>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</si>
  <si>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</si>
  <si>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</si>
  <si>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</si>
  <si>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</si>
  <si>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</si>
  <si>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</si>
  <si>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</si>
  <si>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</si>
  <si>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</si>
  <si>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</si>
  <si>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</si>
  <si>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</si>
  <si>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</si>
  <si>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</si>
  <si>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</si>
  <si>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</si>
  <si>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</si>
  <si>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Расходные материалы к мероприятиям</t>
  </si>
  <si>
    <t>Проезд детей</t>
  </si>
  <si>
    <t>Проживание детей 10 детей</t>
  </si>
  <si>
    <t>Форма юнармейцев комплект</t>
  </si>
  <si>
    <t>Проекты Территория 2020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</si>
  <si>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</si>
  <si>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</si>
  <si>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</si>
  <si>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</si>
  <si>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</si>
  <si>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</si>
  <si>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</si>
  <si>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</si>
  <si>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</si>
  <si>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</si>
  <si>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</si>
  <si>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</si>
  <si>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</si>
  <si>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</si>
  <si>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</si>
  <si>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</si>
  <si>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Возмещение мед осмотра (112/212)</t>
  </si>
  <si>
    <t>Фанера</t>
  </si>
  <si>
    <t>ГСМ УАЗ (Масло двигатель)</t>
  </si>
  <si>
    <t>Антифриз</t>
  </si>
  <si>
    <t>Гвозди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</si>
  <si>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</si>
  <si>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</si>
  <si>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</si>
  <si>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</si>
  <si>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</si>
  <si>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</si>
  <si>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</si>
  <si>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</si>
  <si>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</si>
  <si>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</si>
  <si>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</si>
  <si>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</si>
  <si>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</si>
  <si>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</si>
  <si>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</si>
  <si>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</si>
  <si>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</si>
  <si>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</si>
  <si>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</si>
  <si>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</si>
  <si>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</si>
  <si>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</si>
  <si>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</si>
  <si>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</si>
  <si>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</si>
  <si>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</si>
  <si>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</si>
  <si>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</si>
  <si>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</si>
  <si>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</si>
  <si>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</si>
  <si>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</si>
  <si>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</si>
  <si>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</si>
  <si>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</si>
  <si>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</si>
  <si>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</si>
  <si>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</si>
  <si>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</si>
  <si>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</si>
  <si>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</si>
  <si>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</si>
  <si>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</si>
  <si>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</si>
  <si>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</si>
  <si>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</si>
  <si>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</si>
  <si>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</si>
  <si>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</si>
  <si>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</si>
  <si>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</si>
  <si>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</si>
  <si>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</si>
  <si>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</si>
  <si>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</si>
  <si>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</si>
  <si>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</si>
  <si>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</si>
  <si>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</si>
  <si>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</si>
  <si>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</si>
  <si>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</si>
  <si>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</si>
  <si>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</si>
  <si>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</si>
  <si>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</si>
  <si>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</si>
  <si>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</si>
  <si>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</si>
  <si>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</si>
  <si>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</si>
  <si>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</si>
  <si>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</si>
  <si>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</si>
  <si>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</si>
  <si>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</si>
  <si>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</si>
  <si>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</si>
  <si>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</si>
  <si>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</si>
  <si>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</si>
  <si>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</si>
  <si>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</si>
  <si>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</si>
  <si>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</si>
  <si>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</si>
  <si>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</si>
  <si>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</si>
  <si>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</si>
  <si>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</si>
  <si>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</si>
  <si>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</si>
  <si>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</si>
  <si>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</si>
  <si>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</si>
  <si>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антифриз УАЗ</t>
  </si>
  <si>
    <t>Приложение № 1</t>
  </si>
  <si>
    <t>значок</t>
  </si>
  <si>
    <t>ремень</t>
  </si>
  <si>
    <t>берет</t>
  </si>
  <si>
    <t>берцы</t>
  </si>
  <si>
    <t>Шапка-ушанка</t>
  </si>
  <si>
    <t>Толстовка</t>
  </si>
  <si>
    <t>Куртка зимняя</t>
  </si>
  <si>
    <t>Рубашка поло</t>
  </si>
  <si>
    <t>Куртка демисезонная</t>
  </si>
  <si>
    <t>Брюки</t>
  </si>
  <si>
    <t>Мастерская по изготовлению военно-спортивного инвентаря</t>
  </si>
  <si>
    <t>фанера 10мм</t>
  </si>
  <si>
    <t>фанера 25мм</t>
  </si>
  <si>
    <t>труба полипропилен</t>
  </si>
  <si>
    <t>утеплитель для трубы</t>
  </si>
  <si>
    <t>Клуб танко-модельного спорта "Прорыв"</t>
  </si>
  <si>
    <t>фанера 4мм</t>
  </si>
  <si>
    <t>Кубок</t>
  </si>
  <si>
    <t>Полотно для трассы брезент</t>
  </si>
  <si>
    <t>Улучшение материальной базы молодежных объединений</t>
  </si>
  <si>
    <t>Фотобумага глянец</t>
  </si>
  <si>
    <t>Рамки А4</t>
  </si>
  <si>
    <t>Набор для выживания "Пионер"</t>
  </si>
  <si>
    <t>Набор для выживания "Профи"</t>
  </si>
  <si>
    <t>Банер 9 мая</t>
  </si>
  <si>
    <t>Носимый аварийный запас</t>
  </si>
  <si>
    <t>Набор для выживания в кейсе</t>
  </si>
  <si>
    <t>Флеш карта 8гб</t>
  </si>
  <si>
    <t>сертификат подарочный</t>
  </si>
  <si>
    <t xml:space="preserve">Мониторинг систем пожарной сигнализации  </t>
  </si>
  <si>
    <t>Изготовление окна регистрации</t>
  </si>
  <si>
    <t>Заправка катриджей</t>
  </si>
  <si>
    <t xml:space="preserve">ремонта отмостки и крылец здания МБУ «МЦ АУРУМ». </t>
  </si>
  <si>
    <t>Обучение электроустановки</t>
  </si>
  <si>
    <t>Изготовление полка двухуровневого для создания открытого пространства</t>
  </si>
  <si>
    <t>Предрейсовое медицинское обследование 200дней*85руб</t>
  </si>
  <si>
    <t>Изготовление декоративного камина</t>
  </si>
  <si>
    <t>Microsoft Windows 10</t>
  </si>
  <si>
    <t>Microsoft Office 2013</t>
  </si>
  <si>
    <t>папка-регистратор для чемпионата по офисным видам спорта</t>
  </si>
  <si>
    <t>Турнир среди рабочей молодежи по лучному бою:</t>
  </si>
  <si>
    <t>манишки для команд</t>
  </si>
  <si>
    <t>кубок</t>
  </si>
  <si>
    <t>Фестиваль "День Сибири"</t>
  </si>
  <si>
    <t>каска пластик с защитной маской</t>
  </si>
  <si>
    <t>Манишка с номером</t>
  </si>
  <si>
    <t>Снежколеп ручной</t>
  </si>
  <si>
    <t>Снежколеп ручной большой</t>
  </si>
  <si>
    <t>Развитие дворового спорта</t>
  </si>
  <si>
    <t>футбольный мяч</t>
  </si>
  <si>
    <t>кубок за первое место</t>
  </si>
  <si>
    <t>медаль 1 место</t>
  </si>
  <si>
    <t>медаль 2 место</t>
  </si>
  <si>
    <t>медаль 3 место</t>
  </si>
  <si>
    <t>Шлем с маской для армейского рукопашного боя</t>
  </si>
  <si>
    <t>Плащ-дождевик для ТОСовцев</t>
  </si>
  <si>
    <t>Уголок крепежный с усилением цинк 70*70*55*2,0мм</t>
  </si>
  <si>
    <t>Сверло ЕРМАК по металлу 10мм  649-070 /10/</t>
  </si>
  <si>
    <t>Хомут нейлоновый 3,6х200мм 100шт белый /10/200/</t>
  </si>
  <si>
    <t>Лак яхтный уралкидный атмосферостойкий 2,7л ГЛЯНЦЕВЫЙ(4) FARBITEX ПРОФИ GOOD FOR WOOD ФВЛ13400</t>
  </si>
  <si>
    <t>Уайт-спирит (0,9л) FARBITEX(20) ФУ103000</t>
  </si>
  <si>
    <t>Кисть Акор "Лаки" КФ-70*12 натур.щетина /10/260/</t>
  </si>
  <si>
    <t>Кисть Акор "Лаки" КФ-100*12 натур.щетина /10/180/</t>
  </si>
  <si>
    <t>Кисть Акор "Лаки" КФ-25*10 натур.щетина /10/860/</t>
  </si>
  <si>
    <t>Угол ПВХ 50х50х2700 мм белый (25)</t>
  </si>
  <si>
    <t>Фанера 12 мм (1525х1525) водостойкая , сорт 4/4 , н/ш (2,325 м2)</t>
  </si>
  <si>
    <t>Линейка ХК металлическая 100см  /120/</t>
  </si>
  <si>
    <t>Пена "PENOSIL GOLD GUN 65L" проф. -18 зимняя 875 мл. (12)</t>
  </si>
  <si>
    <t>Пистолет для монтажной  пены "Эксперт ХК-075" Арт.W-002 красная ручка /48/</t>
  </si>
  <si>
    <t>Скотч малярный 48мм*50м /6/36/</t>
  </si>
  <si>
    <t>Подоконник белый 500*20*40 2000 (Контур)</t>
  </si>
  <si>
    <t>Клей Cosmofen Plus белый  200гр (30)</t>
  </si>
  <si>
    <t>Клей Henkel Момент "Монтаж MB-70" суперсильный белый 400гр. /12/</t>
  </si>
  <si>
    <t>Пистолет для герметика полукорпусный, гладкий шток /50/</t>
  </si>
  <si>
    <t>Пилки для лобзика ХК BOCHAO, для металла, 5шт, Т118В /400/</t>
  </si>
  <si>
    <t>Уголок крепежный с усилением цинк 50*50*35*2,0мм</t>
  </si>
  <si>
    <t>Саморез по гипсокартону, дереву, ДСП черный фосфат 3,5х41 (2500шт.)</t>
  </si>
  <si>
    <t>Ножовка универсальная (пила) STAYER BlackMAX 500 мм, 7TPI, тефлон покрытие, рез вдоль и поперек воло</t>
  </si>
  <si>
    <t>STAYER MAXI, 105х55мм, стусло пластиковое</t>
  </si>
  <si>
    <t>Отвес STAYER строительный со шнуром, 100гр 0635-10_z01</t>
  </si>
  <si>
    <t>Сверло ЕРМАК по металлу  2,5мм  649-044 /10/</t>
  </si>
  <si>
    <t>Диск алмазный Hammer Flex DB SG 125*22мм  сегментный, 206-102 /1/</t>
  </si>
  <si>
    <t>Пистолет ХК термоклеящий,  20Вт/220 В, 7мм, арт.SL-E-20W /120/</t>
  </si>
  <si>
    <t>Стержень клеевой d-7мм, L-29см, цена за 10шт. арт.107АА /25/</t>
  </si>
  <si>
    <t>Эмаль аэроз. белая матовая 520мл Kudo KU-1101 (12) KU-1101</t>
  </si>
  <si>
    <t>Изолента ХК ПВХ PVS CATFISH ET зеленая 17мм* 20м /10/250/</t>
  </si>
  <si>
    <t>Изолента ХК ПВХ PVS CATFISH ET красная 17мм* 20м /10/250/</t>
  </si>
  <si>
    <t>Саморез по гипсокартону, дереву, ДСП черный фосфат 3,5х19 (6500шт.)</t>
  </si>
  <si>
    <t>Саморез по гипсокартону, дереву, ДСП черный фосфат 3,5х25 (5000шт.)</t>
  </si>
  <si>
    <t>Саморез по гипсокартону, дереву, ДСП черный фосфат 3,5х32 (3500шт.)</t>
  </si>
  <si>
    <t>Болт шестигранник полная резьба цинк DIN 933 М6х16 (500шт.)</t>
  </si>
  <si>
    <t>Болт шестигранник полная резьба цинк DIN 933 М8х16 (300шт.)</t>
  </si>
  <si>
    <t>Болт шестигранник полная резьба цинк DIN 933 М8х30 (200шт.)</t>
  </si>
  <si>
    <t>Гайка шестигранная цинк DIN 934 М6 (1300шт.)</t>
  </si>
  <si>
    <t>Винт головка потай крест №2 цинк DIN 965 М4х25 (1200шт.)</t>
  </si>
  <si>
    <t>Шуруп головка шестигранник "Глухарь" DIN571 8х60 (400шт.)</t>
  </si>
  <si>
    <t>Щетка NEW GALAXY для уборки снега NG907, телескопическая ручка, 117см</t>
  </si>
  <si>
    <t>Сгон стальной оцинкованный ДУ-15, L-100мм, 027-4166 /100/</t>
  </si>
  <si>
    <t>Хомут"Norma"  16-27мм /100/</t>
  </si>
  <si>
    <t>Фум-лента  19мм*0,2мм*15м, F2 /500/</t>
  </si>
  <si>
    <t>ВВГнг  2*2,5 ГОСТ /100/</t>
  </si>
  <si>
    <t>Розетка "Пралеска" 4РА16-266 з/к /28/</t>
  </si>
  <si>
    <t>Труба ПВХ облегчённая гибкая с протяжкой d16мм t-plast /100м/</t>
  </si>
  <si>
    <t>Мини-валик АКОР в сборе "Для работ по дереву" 60мм, L ручки 30см /10/</t>
  </si>
  <si>
    <t>Мини-валик АКОР в сборе "Для работ по дереву" 110мм, L ручки 30см /10/</t>
  </si>
  <si>
    <t>Ручка оконная HERMO WHJ 002/B 38мм белая /100/</t>
  </si>
  <si>
    <t>Доводчик дверной, TD-180, серебро /10/</t>
  </si>
  <si>
    <t>Доводчик дверной, TD-100, с фиксацией 90°, серебро /10/</t>
  </si>
  <si>
    <t>Кисть Акор "СТОЛИЧНАЯ" №2 КФ-25*10 натур.щетина /12/1290/</t>
  </si>
  <si>
    <t>Кисть пласт.ручка 1" нат.щет. Петрович (12/1200) П126В-10</t>
  </si>
  <si>
    <t>ВДК интерьерная (д/ стен и потолков) 14,0кг OLECOLOR (Фарбен) (1) О1072000</t>
  </si>
  <si>
    <t>Универсальный колер персиковый "Тициана" 80мл (12) Т2400210</t>
  </si>
  <si>
    <t>Валик Акор "ПРОФИ"  полиамид кр/серый 240*8мм/10/</t>
  </si>
  <si>
    <t>Грунт ГФ-021 алк. серый  1кг OLECOLOR (14) О0655060</t>
  </si>
  <si>
    <t>Эмаль ПФ-115 алк. белая  5,0кг OLECOLOR (4) О3467010</t>
  </si>
  <si>
    <t>Лак яхтный глянцевый 0,9л /6/</t>
  </si>
  <si>
    <t>Кисть Акор "Лаки" КФ-50*12 натур.щетина /10/380/</t>
  </si>
  <si>
    <t>Универсальный колер лайм "Тициана" 80мл (12) Т2400104</t>
  </si>
  <si>
    <t>Щит распределительный  ЩН-00, наружный (235*175*110) сталь 0,9мм /3/</t>
  </si>
  <si>
    <t>Выключатель "Стиль" 1СП, С110-801 /60/</t>
  </si>
  <si>
    <t>Кабель-канал ПВХ  с двойным замком 12*12мм, цена за 2 метра /100/</t>
  </si>
  <si>
    <t>Щит распределительный ЩМП-04 с монтажной панелью, наружный (450*350*170) сталь 0,9мм /1/</t>
  </si>
  <si>
    <t>Скоба двухлапковая 19-20мм (200шт) /1/</t>
  </si>
  <si>
    <t>Порожек угловой 1,8 м алюм. 24*18мм (6) ПУ03.1800.001</t>
  </si>
  <si>
    <t>Светильник сад.-парк. НТУ 04-60-001 "Оскар", бронза, прозрачное стекло /1/</t>
  </si>
  <si>
    <t>Шнур для бра 2,0м ШВВП-ВП 2*0,75 ШУ03в черный (80) TDM SQ1305-0002</t>
  </si>
  <si>
    <t>IL-C35-FR-40/E27 Лампа накаливания. Картонная упаковка</t>
  </si>
  <si>
    <t>подарочный сертификат для чемпионата по офисным видам спорта 1 место</t>
  </si>
  <si>
    <t>подарочный сертификат для чемпионата по офисным видам спорта 2 место</t>
  </si>
  <si>
    <t>подарочный сертификат для чемпионата по офисным видам спорта 3 место</t>
  </si>
  <si>
    <t>Фотобумага матовая 50 листов</t>
  </si>
  <si>
    <t>фотобумага глянцевая</t>
  </si>
  <si>
    <t>батарейки АА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</si>
  <si>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 (остаток ассигнований)</t>
  </si>
  <si>
    <t>шеврон на рукав</t>
  </si>
  <si>
    <t>нашивка на спину</t>
  </si>
  <si>
    <t>беннер с люверсами 1,5*1,5</t>
  </si>
  <si>
    <t>футболка с печатью</t>
  </si>
  <si>
    <t>х/б ткань на береты</t>
  </si>
  <si>
    <t>лопата снегоуборочная</t>
  </si>
  <si>
    <t>перчатки рабочие</t>
  </si>
  <si>
    <t>тряпочки для уборки</t>
  </si>
  <si>
    <t>моющее средство</t>
  </si>
  <si>
    <t>средство для мытья окон</t>
  </si>
  <si>
    <t>пряжа</t>
  </si>
  <si>
    <t>спицы</t>
  </si>
  <si>
    <t>Брошюра</t>
  </si>
  <si>
    <t>Календарь настольный "Домик"</t>
  </si>
  <si>
    <t>Брошюра "Дети войны"</t>
  </si>
  <si>
    <t>Сумка для ноутбука универсальная с символикой РДШ</t>
  </si>
  <si>
    <t>Подарочный сертификат 1000</t>
  </si>
  <si>
    <t>Подарочный сертификат 2000</t>
  </si>
  <si>
    <t>Подарочный сертификат 3000</t>
  </si>
  <si>
    <t>Рамки для дипломов А4</t>
  </si>
  <si>
    <t>Фонарь брелок светодиодный, usb</t>
  </si>
  <si>
    <t>Набор дайсов для настольных игр</t>
  </si>
  <si>
    <t>Руководство мастера 5 редакция по настольной игре «Подземелье и драконы»</t>
  </si>
  <si>
    <t>Руководство игрока 5 редакция по настольной игре «Подземелье и драконы»</t>
  </si>
  <si>
    <t>Ширма мастера «Дайс тавер», с магнитами, раскладная, дерево</t>
  </si>
  <si>
    <t>Редуктор для Радиоуправляемый танк Heng Long T90 Pro Russia</t>
  </si>
  <si>
    <t>Набор гусениц металлических для Радиоуправляемый танк Heng Long T90 Pro Russia</t>
  </si>
  <si>
    <t>Комплект снарядов (Пластик) для Радиоуправляемый танк Heng Long T90 Pro Russia</t>
  </si>
  <si>
    <t>устройство подачи дыма для танка</t>
  </si>
  <si>
    <t>Ед изм нормы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</si>
  <si>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</si>
  <si>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</si>
  <si>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</si>
  <si>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</si>
  <si>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Проект "Турнир среди рабочей молодежи по лучному бою"</t>
  </si>
  <si>
    <t>карбонат монолитный</t>
  </si>
  <si>
    <t>труба проф 40*25*2</t>
  </si>
  <si>
    <t>перчатки нитриловые</t>
  </si>
  <si>
    <t>маска бытовая из марли</t>
  </si>
  <si>
    <t>Средство антисептическое для рук «Будь здоров», 500мл</t>
  </si>
  <si>
    <t>Маска многоразовая трикотажная для индивидуального использования (синий) для волонтеров</t>
  </si>
  <si>
    <t>Дезинфицирующее многофункциональное средство «МультиДез» 1л (концентрат)</t>
  </si>
  <si>
    <t>Блокноты А5</t>
  </si>
  <si>
    <t>Ручка с надписью "Аурум"</t>
  </si>
  <si>
    <t>Термокружка с гравировкой</t>
  </si>
  <si>
    <t>Шильд металлический 1,5*12 см "Победитель чемпионата по офисным видам спорта 2020 года"</t>
  </si>
  <si>
    <t>Баннер 2*3 с люверсами "Чемпионат по офисным видам спорта"</t>
  </si>
  <si>
    <t>Баннер 2*2 с люверсами на конкурс солдатской каши</t>
  </si>
  <si>
    <t>Труба проф 40*25*2,0</t>
  </si>
  <si>
    <t>Труба проф 25*25*2</t>
  </si>
  <si>
    <t>Набор для выживания</t>
  </si>
  <si>
    <t>Клуб сюжетно-ролевых игр</t>
  </si>
  <si>
    <t>комплект дайсов</t>
  </si>
  <si>
    <t>фишки-подставки</t>
  </si>
  <si>
    <t>Лист "доска пробковая"</t>
  </si>
  <si>
    <t>полотно магнитное</t>
  </si>
  <si>
    <t>на 30.11.2020 год</t>
  </si>
  <si>
    <t>5 команд</t>
  </si>
  <si>
    <t>5 командировок</t>
  </si>
  <si>
    <t>Замена аккумулятора охранной сигнализации</t>
  </si>
  <si>
    <t>промывка и опрессовка</t>
  </si>
  <si>
    <t>обучение молодежная политика</t>
  </si>
  <si>
    <t>изготовление металлической фигуры медведя (ГПХ)</t>
  </si>
  <si>
    <t>Пиломатериал доска 100*50*6000</t>
  </si>
  <si>
    <t>Брусок 100*100*6000</t>
  </si>
  <si>
    <t>Искусственный камень</t>
  </si>
  <si>
    <t>дез ср/во для сантехники</t>
  </si>
  <si>
    <t>ср-во для чистки стекол</t>
  </si>
  <si>
    <t>ватные диски +терм</t>
  </si>
  <si>
    <t>щит мет</t>
  </si>
  <si>
    <t>держатель зерк</t>
  </si>
  <si>
    <t>краска</t>
  </si>
  <si>
    <t>эмаль</t>
  </si>
  <si>
    <t>шайба, гайка,сверло</t>
  </si>
  <si>
    <t>брелок</t>
  </si>
  <si>
    <t>Тарелка опорная ЗУБР "МАСТЕР" пластиковая для УШМ под круг на липучке, d 125 мм, М14</t>
  </si>
  <si>
    <t>Круг шлифовальный ЗУБР "МАСТЕР"  универс., из абразивной бумаги на велкро основе, б/отверстий, Р320</t>
  </si>
  <si>
    <t>Круг шлифовальный ЗУБР "МАСТЕР"  универс., из абразивной бумаги на велкро основе, б/отверстий, Р180</t>
  </si>
  <si>
    <t>Аптечка нового образца "Мицар" 17,5x15x7см ПЛАСТИК</t>
  </si>
  <si>
    <t>Саморез по гипсокартону, дереву, ДСП черный фосфат 3,5х45 (2000шт.)</t>
  </si>
  <si>
    <t>Саморез по гипсокартону, дереву, ДСП черный фосфат 4,8х102 (400шт.)</t>
  </si>
  <si>
    <t>Уголок крепежный универсальный цинк 100*100*60*2,0мм /50/</t>
  </si>
  <si>
    <t>Уголок крепежный универсальный цинк 80*80*40*2,0мм /100/</t>
  </si>
  <si>
    <t>Уголок крепежный универсальный цинк 50*50*60*2,0мм /100/</t>
  </si>
  <si>
    <t>Пластина крепежная универсальная цинк 200*60*2,0мм /50/</t>
  </si>
  <si>
    <t>Сверло по металлу 6,0мм ТОМСК 10902В</t>
  </si>
  <si>
    <t>Биты  ХК RSG 10 шт, РН2 х 70 мм, сталь S2 /120/</t>
  </si>
  <si>
    <t>Хомут  нейлоновый 2,5х200мм 100шт белый /10/100/</t>
  </si>
  <si>
    <t>Хомут  нейлоновый 3,6х300мм 100шт белый /10/150/</t>
  </si>
  <si>
    <t>Набор АНИ с бок подв 1/2 пл кнопка белая  WС8010 /20/</t>
  </si>
  <si>
    <t>Набор с бок подв АНИ шток пластик эконом  WС4050 /20/</t>
  </si>
  <si>
    <t>Тройник PPR соединительный 32 Дигор /15/60/</t>
  </si>
  <si>
    <t>Труба PPR Ду 25  PN 20, SDR 7,4 (4 м) армир. стекловолокном г.Красноярск  /упак. 25шт./</t>
  </si>
  <si>
    <t>Труба РР PN25 Д-32*5,4 (1") L-4,0м (стекловолокно) (упак. 15 шт.)</t>
  </si>
  <si>
    <t>Изоляция для труб холодной воды 42/9мм, 2м /10/</t>
  </si>
  <si>
    <t>Изодом НПЭ Л 10мм (1,0х25 п.м)</t>
  </si>
  <si>
    <t>Лента серпянка сетка строительная самокл. Стелс 45мм.*45м. /63/</t>
  </si>
  <si>
    <t>Клей Cosmofen СА-12  20гр /флакон прозр.  /20/</t>
  </si>
  <si>
    <t>Сверло ЗУБР "МАСТЕР" по бетону ударное, 6х150мм</t>
  </si>
  <si>
    <t>Сверло ЗУБР "СУПЕР-6" по бетону ударное, шестигранный хвостовик, 4x75мм</t>
  </si>
  <si>
    <t>Профиль потолочный А-3 2,0м в сборе (М) (10)</t>
  </si>
  <si>
    <t>Клеёнка силиконовая Dekorelle 1,20*20м прозрачная (толщина 0,8мм)</t>
  </si>
  <si>
    <t>перчатки нитриловые L</t>
  </si>
  <si>
    <t>перчатки нитриловые М</t>
  </si>
  <si>
    <t>маска мед одноразовая</t>
  </si>
  <si>
    <t>скреппер волокуша для снега</t>
  </si>
  <si>
    <t>мультиДез 1л</t>
  </si>
  <si>
    <t>Мульти ДезТефлекс 0,5</t>
  </si>
  <si>
    <t xml:space="preserve"> к Приказу отдела физической культуры, спорта и молодежной политики Северо-Енисейского района от  30.11.2020 № 87-ос "О внесении изменений в приказ от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</si>
  <si>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Приложение №1 к приложению 2  к Приказу отдела физической культуры, спорта и молодежной политики Северо-Енисейского района от 30.11.2020 "87-ос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</si>
</sst>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499984740745262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6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39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8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 readingOrder="1"/>
    </xf>
    <xf numFmtId="0" fontId="4" fillId="4" borderId="17" xfId="3" applyFont="1" applyFill="1" applyBorder="1" applyAlignment="1">
      <alignment vertical="center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1" fillId="4" borderId="26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horizontal="center" vertical="center"/>
    </xf>
    <xf numFmtId="4" fontId="4" fillId="3" borderId="2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4" borderId="9" xfId="0" applyFont="1" applyFill="1" applyBorder="1" applyAlignment="1">
      <alignment vertical="center" wrapText="1"/>
    </xf>
    <xf numFmtId="4" fontId="42" fillId="8" borderId="14" xfId="0" applyNumberFormat="1" applyFont="1" applyFill="1" applyBorder="1" applyAlignment="1">
      <alignment horizontal="center" vertical="center" wrapText="1"/>
    </xf>
    <xf numFmtId="4" fontId="44" fillId="8" borderId="9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 readingOrder="1"/>
    </xf>
    <xf numFmtId="4" fontId="46" fillId="2" borderId="7" xfId="0" applyNumberFormat="1" applyFont="1" applyFill="1" applyBorder="1" applyAlignment="1">
      <alignment vertical="top" wrapText="1"/>
    </xf>
    <xf numFmtId="4" fontId="44" fillId="2" borderId="7" xfId="0" applyNumberFormat="1" applyFont="1" applyFill="1" applyBorder="1" applyAlignment="1">
      <alignment vertical="top" wrapText="1"/>
    </xf>
    <xf numFmtId="4" fontId="43" fillId="2" borderId="7" xfId="0" applyNumberFormat="1" applyFont="1" applyFill="1" applyBorder="1" applyAlignment="1">
      <alignment horizontal="center" vertical="top" wrapText="1" readingOrder="1"/>
    </xf>
    <xf numFmtId="4" fontId="44" fillId="2" borderId="9" xfId="0" applyNumberFormat="1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left" vertical="center" wrapText="1" readingOrder="1"/>
    </xf>
    <xf numFmtId="4" fontId="5" fillId="4" borderId="8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4" borderId="7" xfId="0" applyNumberFormat="1" applyFont="1" applyFill="1" applyBorder="1" applyAlignment="1">
      <alignment vertical="top" wrapText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26" xfId="0" applyFont="1" applyFill="1" applyBorder="1" applyAlignment="1">
      <alignment vertical="top" wrapText="1"/>
    </xf>
    <xf numFmtId="0" fontId="27" fillId="4" borderId="26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52" fillId="4" borderId="26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4" fillId="4" borderId="29" xfId="3" applyFont="1" applyFill="1" applyBorder="1" applyAlignment="1">
      <alignment horizontal="left" vertical="center"/>
    </xf>
    <xf numFmtId="0" fontId="27" fillId="4" borderId="7" xfId="2" applyFont="1" applyFill="1" applyBorder="1" applyAlignment="1">
      <alignment horizontal="center" vertical="center" wrapText="1"/>
    </xf>
    <xf numFmtId="0" fontId="4" fillId="4" borderId="8" xfId="2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vertical="center" wrapText="1" readingOrder="1"/>
    </xf>
    <xf numFmtId="0" fontId="5" fillId="4" borderId="17" xfId="0" applyFont="1" applyFill="1" applyBorder="1" applyAlignment="1">
      <alignment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3" fillId="4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39" fillId="4" borderId="15" xfId="0" applyFont="1" applyFill="1" applyBorder="1" applyAlignment="1">
      <alignment vertical="center" wrapText="1"/>
    </xf>
    <xf numFmtId="0" fontId="27" fillId="3" borderId="31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51" fillId="3" borderId="26" xfId="0" applyFont="1" applyFill="1" applyBorder="1" applyAlignment="1">
      <alignment vertical="center" wrapText="1"/>
    </xf>
    <xf numFmtId="0" fontId="27" fillId="3" borderId="26" xfId="0" applyFont="1" applyFill="1" applyBorder="1" applyAlignment="1">
      <alignment vertical="center" wrapText="1"/>
    </xf>
    <xf numFmtId="0" fontId="27" fillId="3" borderId="32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/>
    </xf>
    <xf numFmtId="0" fontId="4" fillId="3" borderId="22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29" fillId="4" borderId="7" xfId="0" applyFont="1" applyFill="1" applyBorder="1" applyAlignment="1">
      <alignment wrapText="1"/>
    </xf>
    <xf numFmtId="0" fontId="51" fillId="3" borderId="22" xfId="0" applyFont="1" applyFill="1" applyBorder="1" applyAlignment="1">
      <alignment vertical="center" wrapText="1"/>
    </xf>
    <xf numFmtId="0" fontId="29" fillId="4" borderId="15" xfId="0" applyFont="1" applyFill="1" applyBorder="1" applyAlignment="1">
      <alignment vertical="center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top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4" borderId="10" xfId="0" applyFont="1" applyFill="1" applyBorder="1" applyAlignment="1">
      <alignment horizontal="center" vertical="center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left" vertical="top" wrapText="1"/>
    </xf>
    <xf numFmtId="0" fontId="53" fillId="4" borderId="7" xfId="0" applyFont="1" applyFill="1" applyBorder="1" applyAlignment="1">
      <alignment vertical="center" wrapText="1"/>
    </xf>
    <xf numFmtId="0" fontId="10" fillId="3" borderId="1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center" vertical="top" wrapText="1"/>
    </xf>
    <xf numFmtId="0" fontId="39" fillId="4" borderId="7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top" wrapText="1"/>
    </xf>
    <xf numFmtId="4" fontId="10" fillId="4" borderId="8" xfId="0" applyNumberFormat="1" applyFont="1" applyFill="1" applyBorder="1" applyAlignment="1">
      <alignment vertical="top" wrapText="1"/>
    </xf>
    <xf numFmtId="0" fontId="54" fillId="4" borderId="7" xfId="0" applyFont="1" applyFill="1" applyBorder="1" applyAlignment="1">
      <alignment vertical="center" wrapText="1"/>
    </xf>
    <xf numFmtId="0" fontId="39" fillId="4" borderId="7" xfId="0" applyFont="1" applyFill="1" applyBorder="1" applyAlignment="1">
      <alignment vertical="center" wrapText="1"/>
    </xf>
    <xf numFmtId="4" fontId="10" fillId="4" borderId="9" xfId="0" applyNumberFormat="1" applyFont="1" applyFill="1" applyBorder="1" applyAlignment="1">
      <alignment vertical="top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22" t="s">
        <v>356</v>
      </c>
      <c r="J1" s="522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23" t="s">
        <v>599</v>
      </c>
      <c r="J2" s="523"/>
      <c r="K2" s="523"/>
      <c r="L2" s="171"/>
      <c r="M2" s="171"/>
    </row>
    <row r="3" spans="1:16" ht="30" x14ac:dyDescent="0.25">
      <c r="A3" s="193" t="s">
        <v>215</v>
      </c>
      <c r="B3" s="524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24"/>
      <c r="D3" s="524"/>
      <c r="E3" s="524"/>
      <c r="F3" s="524"/>
      <c r="G3" s="524"/>
      <c r="H3" s="524"/>
      <c r="I3" s="524"/>
      <c r="J3" s="524"/>
      <c r="K3" s="524"/>
    </row>
    <row r="4" spans="1:16" x14ac:dyDescent="0.25">
      <c r="A4" s="45"/>
      <c r="B4" s="525"/>
      <c r="C4" s="525"/>
      <c r="D4" s="525"/>
      <c r="E4" s="525"/>
      <c r="F4" s="525"/>
      <c r="G4" s="525"/>
      <c r="H4" s="525"/>
      <c r="I4" s="525"/>
      <c r="J4" s="525"/>
      <c r="K4" s="525"/>
    </row>
    <row r="5" spans="1:16" ht="15" customHeight="1" x14ac:dyDescent="0.25">
      <c r="A5" s="526" t="s">
        <v>89</v>
      </c>
      <c r="B5" s="527"/>
      <c r="C5" s="527"/>
      <c r="D5" s="526" t="s">
        <v>32</v>
      </c>
      <c r="E5" s="518"/>
      <c r="F5" s="518"/>
      <c r="G5" s="518"/>
      <c r="H5" s="518"/>
      <c r="I5" s="518"/>
      <c r="J5" s="519"/>
      <c r="K5" s="520" t="s">
        <v>33</v>
      </c>
    </row>
    <row r="6" spans="1:16" ht="120" customHeight="1" x14ac:dyDescent="0.25">
      <c r="A6" s="194" t="s">
        <v>98</v>
      </c>
      <c r="B6" s="195" t="s">
        <v>99</v>
      </c>
      <c r="C6" s="195" t="s">
        <v>100</v>
      </c>
      <c r="D6" s="196" t="s">
        <v>101</v>
      </c>
      <c r="E6" s="197" t="s">
        <v>102</v>
      </c>
      <c r="F6" s="198" t="s">
        <v>107</v>
      </c>
      <c r="G6" s="199" t="s">
        <v>103</v>
      </c>
      <c r="H6" s="199" t="s">
        <v>106</v>
      </c>
      <c r="I6" s="199" t="s">
        <v>104</v>
      </c>
      <c r="J6" s="199" t="s">
        <v>105</v>
      </c>
      <c r="K6" s="521"/>
    </row>
    <row r="7" spans="1:16" x14ac:dyDescent="0.25">
      <c r="A7" s="200">
        <v>1</v>
      </c>
      <c r="B7" s="200">
        <v>2</v>
      </c>
      <c r="C7" s="200">
        <v>3</v>
      </c>
      <c r="D7" s="201">
        <v>4</v>
      </c>
      <c r="E7" s="202">
        <v>5</v>
      </c>
      <c r="F7" s="202">
        <v>6</v>
      </c>
      <c r="G7" s="202">
        <v>7</v>
      </c>
      <c r="H7" s="202">
        <v>8</v>
      </c>
      <c r="I7" s="202">
        <v>9</v>
      </c>
      <c r="J7" s="202">
        <v>10</v>
      </c>
      <c r="K7" s="203">
        <v>11</v>
      </c>
      <c r="N7" s="39">
        <f>A8+I8</f>
        <v>2880997.7849700395</v>
      </c>
    </row>
    <row r="8" spans="1:16" x14ac:dyDescent="0.25">
      <c r="A8" s="377">
        <f>'инновации+добровольчество0,41'!I27+'инновации+добровольчество0,41'!F36</f>
        <v>1942881.3402444394</v>
      </c>
      <c r="B8" s="377">
        <f>'инновации+добровольчество0,41'!G56</f>
        <v>25270.35</v>
      </c>
      <c r="C8" s="377">
        <f>'инновации+добровольчество0,41'!F179</f>
        <v>297000</v>
      </c>
      <c r="D8" s="378">
        <f>'инновации+добровольчество0,41'!F231</f>
        <v>130228.3589808</v>
      </c>
      <c r="E8" s="379">
        <f>'инновации+добровольчество0,41'!F292</f>
        <v>260391</v>
      </c>
      <c r="F8" s="5">
        <v>0</v>
      </c>
      <c r="G8" s="379">
        <f>'инновации+добровольчество0,41'!G251</f>
        <v>57399.996520000001</v>
      </c>
      <c r="H8" s="379">
        <f>'инновации+добровольчество0,41'!G259</f>
        <v>7789.9999999999991</v>
      </c>
      <c r="I8" s="379">
        <f>'инновации+добровольчество0,41'!I192+'инновации+добровольчество0,41'!F211+'инновации+добровольчество0,41'!F199</f>
        <v>938116.44472560007</v>
      </c>
      <c r="J8" s="5">
        <f>'инновации+добровольчество0,41'!G217+'инновации+добровольчество0,41'!F455</f>
        <v>221328.25</v>
      </c>
      <c r="K8" s="204">
        <f>SUM(A8:J8)</f>
        <v>3880405.7404708397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5" t="s">
        <v>216</v>
      </c>
      <c r="B10" s="524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24"/>
      <c r="D10" s="524"/>
      <c r="E10" s="524"/>
      <c r="F10" s="524"/>
      <c r="G10" s="524"/>
      <c r="H10" s="524"/>
      <c r="I10" s="524"/>
      <c r="J10" s="524"/>
      <c r="K10" s="524"/>
      <c r="N10" s="192" t="s">
        <v>183</v>
      </c>
      <c r="O10" s="206">
        <f>K8+K15+K23</f>
        <v>9705013.8971804418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7026823.9023004398</v>
      </c>
      <c r="P11" s="39"/>
    </row>
    <row r="12" spans="1:16" ht="45" customHeight="1" x14ac:dyDescent="0.25">
      <c r="A12" s="526" t="s">
        <v>89</v>
      </c>
      <c r="B12" s="527"/>
      <c r="C12" s="527"/>
      <c r="D12" s="526" t="s">
        <v>32</v>
      </c>
      <c r="E12" s="518"/>
      <c r="F12" s="518"/>
      <c r="G12" s="518"/>
      <c r="H12" s="518"/>
      <c r="I12" s="518"/>
      <c r="J12" s="519"/>
      <c r="K12" s="520" t="s">
        <v>33</v>
      </c>
      <c r="P12" s="39"/>
    </row>
    <row r="13" spans="1:16" ht="85.15" customHeight="1" x14ac:dyDescent="0.25">
      <c r="A13" s="194" t="s">
        <v>98</v>
      </c>
      <c r="B13" s="195" t="s">
        <v>99</v>
      </c>
      <c r="C13" s="195" t="s">
        <v>100</v>
      </c>
      <c r="D13" s="196" t="s">
        <v>101</v>
      </c>
      <c r="E13" s="197" t="s">
        <v>102</v>
      </c>
      <c r="F13" s="198" t="s">
        <v>107</v>
      </c>
      <c r="G13" s="199" t="s">
        <v>103</v>
      </c>
      <c r="H13" s="199" t="s">
        <v>106</v>
      </c>
      <c r="I13" s="199" t="s">
        <v>104</v>
      </c>
      <c r="J13" s="199" t="s">
        <v>105</v>
      </c>
      <c r="K13" s="521"/>
      <c r="P13" s="39"/>
    </row>
    <row r="14" spans="1:16" x14ac:dyDescent="0.25">
      <c r="A14" s="207">
        <v>1</v>
      </c>
      <c r="B14" s="207">
        <v>2</v>
      </c>
      <c r="C14" s="207">
        <v>3</v>
      </c>
      <c r="D14" s="208">
        <v>4</v>
      </c>
      <c r="E14" s="202">
        <v>5</v>
      </c>
      <c r="F14" s="202">
        <v>6</v>
      </c>
      <c r="G14" s="202">
        <v>7</v>
      </c>
      <c r="H14" s="202">
        <v>8</v>
      </c>
      <c r="I14" s="202">
        <v>9</v>
      </c>
      <c r="J14" s="202">
        <v>10</v>
      </c>
      <c r="K14" s="203">
        <v>11</v>
      </c>
    </row>
    <row r="15" spans="1:16" x14ac:dyDescent="0.25">
      <c r="A15" s="377">
        <f>'патриотика0,31'!I26+0.13+'патриотика0,31'!F50</f>
        <v>1469007.9789240002</v>
      </c>
      <c r="B15" s="377">
        <f>'патриотика0,31'!G194</f>
        <v>19106.849999999999</v>
      </c>
      <c r="C15" s="377">
        <f>'патриотика0,31'!F111+'патриотика0,31'!G121</f>
        <v>454750</v>
      </c>
      <c r="D15" s="378">
        <f>'патриотика0,31'!F175</f>
        <v>98465.270692800012</v>
      </c>
      <c r="E15" s="379">
        <f>'патриотика0,31'!F245</f>
        <v>196881</v>
      </c>
      <c r="F15" s="5">
        <v>0</v>
      </c>
      <c r="G15" s="379">
        <f>'патриотика0,31'!G205</f>
        <v>43399.999320000003</v>
      </c>
      <c r="H15" s="379">
        <f>'патриотика0,31'!G213</f>
        <v>5890</v>
      </c>
      <c r="I15" s="379">
        <f>'патриотика0,31'!I141+'патриотика0,31'!F151+'патриотика0,31'!F130</f>
        <v>709307.56338960014</v>
      </c>
      <c r="J15" s="5">
        <f>'патриотика0,31'!G181+'патриотика0,31'!F408</f>
        <v>167345.75000000006</v>
      </c>
      <c r="K15" s="204">
        <f>SUM(A15:J15)</f>
        <v>3164154.4123264006</v>
      </c>
      <c r="N15" s="39">
        <f>A15+I15</f>
        <v>2178315.5423136004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5" t="s">
        <v>216</v>
      </c>
      <c r="B18" s="524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24"/>
      <c r="D18" s="524"/>
      <c r="E18" s="524"/>
      <c r="F18" s="524"/>
      <c r="G18" s="524"/>
      <c r="H18" s="524"/>
      <c r="I18" s="524"/>
      <c r="J18" s="524"/>
      <c r="K18" s="524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15" t="s">
        <v>43</v>
      </c>
      <c r="B20" s="516"/>
      <c r="C20" s="516"/>
      <c r="D20" s="517" t="s">
        <v>32</v>
      </c>
      <c r="E20" s="518"/>
      <c r="F20" s="518"/>
      <c r="G20" s="518"/>
      <c r="H20" s="518"/>
      <c r="I20" s="518"/>
      <c r="J20" s="519"/>
      <c r="K20" s="520" t="s">
        <v>33</v>
      </c>
    </row>
    <row r="21" spans="1:14" ht="84" customHeight="1" x14ac:dyDescent="0.25">
      <c r="A21" s="198" t="s">
        <v>98</v>
      </c>
      <c r="B21" s="198" t="s">
        <v>99</v>
      </c>
      <c r="C21" s="198" t="s">
        <v>100</v>
      </c>
      <c r="D21" s="209" t="s">
        <v>101</v>
      </c>
      <c r="E21" s="210" t="s">
        <v>102</v>
      </c>
      <c r="F21" s="198" t="s">
        <v>107</v>
      </c>
      <c r="G21" s="211" t="s">
        <v>103</v>
      </c>
      <c r="H21" s="211" t="s">
        <v>106</v>
      </c>
      <c r="I21" s="211" t="s">
        <v>104</v>
      </c>
      <c r="J21" s="211" t="s">
        <v>105</v>
      </c>
      <c r="K21" s="521"/>
    </row>
    <row r="22" spans="1:14" x14ac:dyDescent="0.25">
      <c r="A22" s="207">
        <v>1</v>
      </c>
      <c r="B22" s="207">
        <v>2</v>
      </c>
      <c r="C22" s="207">
        <v>3</v>
      </c>
      <c r="D22" s="201">
        <v>4</v>
      </c>
      <c r="E22" s="202">
        <v>5</v>
      </c>
      <c r="F22" s="202">
        <v>6</v>
      </c>
      <c r="G22" s="202">
        <v>7</v>
      </c>
      <c r="H22" s="202">
        <v>8</v>
      </c>
      <c r="I22" s="202">
        <v>9</v>
      </c>
      <c r="J22" s="202">
        <v>10</v>
      </c>
      <c r="K22" s="203">
        <v>11</v>
      </c>
    </row>
    <row r="23" spans="1:14" x14ac:dyDescent="0.25">
      <c r="A23" s="377">
        <f>'таланты+инициативы0,28'!I26-0.12+'таланты+инициативы0,28'!F118</f>
        <v>1326845.6816519999</v>
      </c>
      <c r="B23" s="377">
        <f>'таланты+инициативы0,28'!G165</f>
        <v>17257.8</v>
      </c>
      <c r="C23" s="377">
        <f>'таланты+инициативы0,28'!G87</f>
        <v>213250</v>
      </c>
      <c r="D23" s="378">
        <f>'таланты+инициативы0,28'!F150</f>
        <v>88936.373206399992</v>
      </c>
      <c r="E23" s="379">
        <f>'таланты+инициативы0,28'!F216</f>
        <v>177828</v>
      </c>
      <c r="F23" s="5">
        <v>0</v>
      </c>
      <c r="G23" s="379">
        <f>'таланты+инициативы0,28'!G176</f>
        <v>39199.996159999995</v>
      </c>
      <c r="H23" s="379">
        <f>'таланты+инициативы0,28'!G184</f>
        <v>5320.0000000000009</v>
      </c>
      <c r="I23" s="379">
        <f>'таланты+инициативы0,28'!I110+'таланты+инициативы0,28'!F136+'таланты+инициативы0,28'!F127</f>
        <v>640664.89336480014</v>
      </c>
      <c r="J23" s="5">
        <f>'таланты+инициативы0,28'!G155+'таланты+инициативы0,28'!F379</f>
        <v>151151</v>
      </c>
      <c r="K23" s="204">
        <f>SUM(A23:J23)</f>
        <v>2660453.7443832001</v>
      </c>
      <c r="N23" s="39">
        <f>A23+I23</f>
        <v>1967510.5750168001</v>
      </c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6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287"/>
  <sheetViews>
    <sheetView topLeftCell="A219" workbookViewId="0">
      <selection sqref="A1:E24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28" t="s">
        <v>600</v>
      </c>
      <c r="E1" s="528"/>
      <c r="F1" s="144"/>
    </row>
    <row r="3" spans="1:6" x14ac:dyDescent="0.25">
      <c r="A3" s="529" t="s">
        <v>130</v>
      </c>
      <c r="B3" s="529"/>
      <c r="C3" s="529"/>
      <c r="D3" s="529"/>
      <c r="E3" s="529"/>
    </row>
    <row r="4" spans="1:6" ht="35.450000000000003" customHeight="1" x14ac:dyDescent="0.25">
      <c r="A4" s="530" t="s">
        <v>154</v>
      </c>
      <c r="B4" s="530"/>
      <c r="C4" s="530"/>
      <c r="D4" s="530"/>
      <c r="E4" s="530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44" t="s">
        <v>51</v>
      </c>
      <c r="B7" s="543" t="s">
        <v>155</v>
      </c>
      <c r="C7" s="531" t="s">
        <v>136</v>
      </c>
      <c r="D7" s="532"/>
      <c r="E7" s="533"/>
    </row>
    <row r="8" spans="1:6" ht="14.45" customHeight="1" x14ac:dyDescent="0.25">
      <c r="A8" s="544"/>
      <c r="B8" s="543"/>
      <c r="C8" s="534" t="s">
        <v>137</v>
      </c>
      <c r="D8" s="535"/>
      <c r="E8" s="536"/>
    </row>
    <row r="9" spans="1:6" ht="15" customHeight="1" x14ac:dyDescent="0.25">
      <c r="A9" s="544"/>
      <c r="B9" s="543"/>
      <c r="C9" s="109" t="s">
        <v>144</v>
      </c>
      <c r="D9" s="108" t="s">
        <v>138</v>
      </c>
      <c r="E9" s="235">
        <f>'инновации+добровольчество0,41'!D26</f>
        <v>2.2959999999999998</v>
      </c>
    </row>
    <row r="10" spans="1:6" ht="15" customHeight="1" x14ac:dyDescent="0.25">
      <c r="A10" s="544"/>
      <c r="B10" s="543"/>
      <c r="C10" s="109" t="s">
        <v>97</v>
      </c>
      <c r="D10" s="107" t="s">
        <v>138</v>
      </c>
      <c r="E10" s="236">
        <f>'инновации+добровольчество0,41'!D25</f>
        <v>0.41</v>
      </c>
    </row>
    <row r="11" spans="1:6" ht="13.9" customHeight="1" x14ac:dyDescent="0.25">
      <c r="A11" s="544"/>
      <c r="B11" s="543"/>
      <c r="C11" s="557" t="s">
        <v>148</v>
      </c>
      <c r="D11" s="558"/>
      <c r="E11" s="559"/>
    </row>
    <row r="12" spans="1:6" ht="40.15" customHeight="1" x14ac:dyDescent="0.25">
      <c r="A12" s="544"/>
      <c r="B12" s="543"/>
      <c r="C12" s="121" t="s">
        <v>202</v>
      </c>
      <c r="D12" s="101" t="s">
        <v>39</v>
      </c>
      <c r="E12" s="230">
        <f>'инновации+добровольчество0,41'!E53</f>
        <v>8.1999999999999993</v>
      </c>
    </row>
    <row r="13" spans="1:6" ht="25.15" customHeight="1" x14ac:dyDescent="0.25">
      <c r="A13" s="544"/>
      <c r="B13" s="543"/>
      <c r="C13" s="121" t="s">
        <v>203</v>
      </c>
      <c r="D13" s="101" t="s">
        <v>39</v>
      </c>
      <c r="E13" s="230">
        <f>'инновации+добровольчество0,41'!E54</f>
        <v>2.0499999999999998</v>
      </c>
    </row>
    <row r="14" spans="1:6" ht="21" customHeight="1" x14ac:dyDescent="0.25">
      <c r="A14" s="544"/>
      <c r="B14" s="543"/>
      <c r="C14" s="121" t="s">
        <v>204</v>
      </c>
      <c r="D14" s="101" t="s">
        <v>39</v>
      </c>
      <c r="E14" s="230">
        <f>'инновации+добровольчество0,41'!E55</f>
        <v>6.1499999999999995</v>
      </c>
    </row>
    <row r="15" spans="1:6" ht="32.25" customHeight="1" x14ac:dyDescent="0.25">
      <c r="A15" s="544"/>
      <c r="B15" s="543"/>
      <c r="C15" s="545" t="s">
        <v>149</v>
      </c>
      <c r="D15" s="546"/>
      <c r="E15" s="547"/>
    </row>
    <row r="16" spans="1:6" ht="30" hidden="1" customHeight="1" x14ac:dyDescent="0.25">
      <c r="A16" s="544"/>
      <c r="B16" s="543"/>
      <c r="C16" s="111" t="e">
        <f>'инновации+добровольчество0,41'!#REF!</f>
        <v>#REF!</v>
      </c>
      <c r="D16" s="256" t="e">
        <f>'инновации+добровольчество0,41'!#REF!</f>
        <v>#REF!</v>
      </c>
      <c r="E16" s="170" t="e">
        <f>'инновации+добровольчество0,41'!#REF!</f>
        <v>#REF!</v>
      </c>
    </row>
    <row r="17" spans="1:5" ht="16.899999999999999" hidden="1" customHeight="1" x14ac:dyDescent="0.25">
      <c r="A17" s="544"/>
      <c r="B17" s="543"/>
      <c r="C17" s="111" t="e">
        <f>'инновации+добровольчество0,41'!#REF!</f>
        <v>#REF!</v>
      </c>
      <c r="D17" s="256" t="e">
        <f>'инновации+добровольчество0,41'!#REF!</f>
        <v>#REF!</v>
      </c>
      <c r="E17" s="170" t="e">
        <f>'инновации+добровольчество0,41'!#REF!</f>
        <v>#REF!</v>
      </c>
    </row>
    <row r="18" spans="1:5" ht="16.899999999999999" hidden="1" customHeight="1" x14ac:dyDescent="0.25">
      <c r="A18" s="544"/>
      <c r="B18" s="543"/>
      <c r="C18" s="111" t="e">
        <f>'инновации+добровольчество0,41'!#REF!</f>
        <v>#REF!</v>
      </c>
      <c r="D18" s="256" t="e">
        <f>'инновации+добровольчество0,41'!#REF!</f>
        <v>#REF!</v>
      </c>
      <c r="E18" s="170" t="e">
        <f>'инновации+добровольчество0,41'!#REF!</f>
        <v>#REF!</v>
      </c>
    </row>
    <row r="19" spans="1:5" ht="16.899999999999999" hidden="1" customHeight="1" x14ac:dyDescent="0.25">
      <c r="A19" s="544"/>
      <c r="B19" s="543"/>
      <c r="C19" s="111" t="e">
        <f>'инновации+добровольчество0,41'!#REF!</f>
        <v>#REF!</v>
      </c>
      <c r="D19" s="256" t="e">
        <f>'инновации+добровольчество0,41'!#REF!</f>
        <v>#REF!</v>
      </c>
      <c r="E19" s="170" t="e">
        <f>'инновации+добровольчество0,41'!#REF!</f>
        <v>#REF!</v>
      </c>
    </row>
    <row r="20" spans="1:5" ht="16.899999999999999" hidden="1" customHeight="1" x14ac:dyDescent="0.25">
      <c r="A20" s="544"/>
      <c r="B20" s="543"/>
      <c r="C20" s="111" t="e">
        <f>'инновации+добровольчество0,41'!#REF!</f>
        <v>#REF!</v>
      </c>
      <c r="D20" s="256" t="e">
        <f>'инновации+добровольчество0,41'!#REF!</f>
        <v>#REF!</v>
      </c>
      <c r="E20" s="170" t="e">
        <f>'инновации+добровольчество0,41'!#REF!</f>
        <v>#REF!</v>
      </c>
    </row>
    <row r="21" spans="1:5" ht="16.899999999999999" hidden="1" customHeight="1" x14ac:dyDescent="0.25">
      <c r="A21" s="544"/>
      <c r="B21" s="543"/>
      <c r="C21" s="111" t="e">
        <f>'инновации+добровольчество0,41'!#REF!</f>
        <v>#REF!</v>
      </c>
      <c r="D21" s="256" t="e">
        <f>'инновации+добровольчество0,41'!#REF!</f>
        <v>#REF!</v>
      </c>
      <c r="E21" s="170" t="e">
        <f>'инновации+добровольчество0,41'!#REF!</f>
        <v>#REF!</v>
      </c>
    </row>
    <row r="22" spans="1:5" ht="16.899999999999999" hidden="1" customHeight="1" x14ac:dyDescent="0.25">
      <c r="A22" s="544"/>
      <c r="B22" s="543"/>
      <c r="C22" s="111" t="e">
        <f>'инновации+добровольчество0,41'!#REF!</f>
        <v>#REF!</v>
      </c>
      <c r="D22" s="256" t="e">
        <f>'инновации+добровольчество0,41'!#REF!</f>
        <v>#REF!</v>
      </c>
      <c r="E22" s="170" t="e">
        <f>'инновации+добровольчество0,41'!#REF!</f>
        <v>#REF!</v>
      </c>
    </row>
    <row r="23" spans="1:5" ht="16.899999999999999" hidden="1" customHeight="1" x14ac:dyDescent="0.25">
      <c r="A23" s="544"/>
      <c r="B23" s="543"/>
      <c r="C23" s="111" t="e">
        <f>'инновации+добровольчество0,41'!#REF!</f>
        <v>#REF!</v>
      </c>
      <c r="D23" s="256" t="e">
        <f>'инновации+добровольчество0,41'!#REF!</f>
        <v>#REF!</v>
      </c>
      <c r="E23" s="170" t="e">
        <f>'инновации+добровольчество0,41'!#REF!</f>
        <v>#REF!</v>
      </c>
    </row>
    <row r="24" spans="1:5" ht="50.25" hidden="1" customHeight="1" x14ac:dyDescent="0.25">
      <c r="A24" s="544"/>
      <c r="B24" s="543"/>
      <c r="C24" s="111" t="e">
        <f>'инновации+добровольчество0,41'!#REF!</f>
        <v>#REF!</v>
      </c>
      <c r="D24" s="256" t="e">
        <f>'инновации+добровольчество0,41'!#REF!</f>
        <v>#REF!</v>
      </c>
      <c r="E24" s="170" t="e">
        <f>'инновации+добровольчество0,41'!#REF!</f>
        <v>#REF!</v>
      </c>
    </row>
    <row r="25" spans="1:5" ht="16.899999999999999" hidden="1" customHeight="1" x14ac:dyDescent="0.25">
      <c r="A25" s="544"/>
      <c r="B25" s="543"/>
      <c r="C25" s="111" t="e">
        <f>'инновации+добровольчество0,41'!#REF!</f>
        <v>#REF!</v>
      </c>
      <c r="D25" s="256" t="e">
        <f>'инновации+добровольчество0,41'!#REF!</f>
        <v>#REF!</v>
      </c>
      <c r="E25" s="170" t="e">
        <f>'инновации+добровольчество0,41'!#REF!</f>
        <v>#REF!</v>
      </c>
    </row>
    <row r="26" spans="1:5" ht="16.899999999999999" hidden="1" customHeight="1" x14ac:dyDescent="0.25">
      <c r="A26" s="544"/>
      <c r="B26" s="543"/>
      <c r="C26" s="111" t="e">
        <f>'инновации+добровольчество0,41'!#REF!</f>
        <v>#REF!</v>
      </c>
      <c r="D26" s="256" t="e">
        <f>'инновации+добровольчество0,41'!#REF!</f>
        <v>#REF!</v>
      </c>
      <c r="E26" s="170" t="e">
        <f>'инновации+добровольчество0,41'!#REF!</f>
        <v>#REF!</v>
      </c>
    </row>
    <row r="27" spans="1:5" ht="16.899999999999999" hidden="1" customHeight="1" x14ac:dyDescent="0.25">
      <c r="A27" s="544"/>
      <c r="B27" s="543"/>
      <c r="C27" s="111" t="e">
        <f>'инновации+добровольчество0,41'!#REF!</f>
        <v>#REF!</v>
      </c>
      <c r="D27" s="256" t="e">
        <f>'инновации+добровольчество0,41'!#REF!</f>
        <v>#REF!</v>
      </c>
      <c r="E27" s="170" t="e">
        <f>'инновации+добровольчество0,41'!#REF!</f>
        <v>#REF!</v>
      </c>
    </row>
    <row r="28" spans="1:5" ht="21.75" hidden="1" customHeight="1" x14ac:dyDescent="0.25">
      <c r="A28" s="544"/>
      <c r="B28" s="543"/>
      <c r="C28" s="111" t="e">
        <f>'инновации+добровольчество0,41'!#REF!</f>
        <v>#REF!</v>
      </c>
      <c r="D28" s="256" t="e">
        <f>'инновации+добровольчество0,41'!#REF!</f>
        <v>#REF!</v>
      </c>
      <c r="E28" s="170" t="e">
        <f>'инновации+добровольчество0,41'!#REF!</f>
        <v>#REF!</v>
      </c>
    </row>
    <row r="29" spans="1:5" ht="14.45" hidden="1" customHeight="1" x14ac:dyDescent="0.25">
      <c r="A29" s="544"/>
      <c r="B29" s="543"/>
      <c r="C29" s="111" t="e">
        <f>'инновации+добровольчество0,41'!#REF!</f>
        <v>#REF!</v>
      </c>
      <c r="D29" s="256" t="e">
        <f>'инновации+добровольчество0,41'!#REF!</f>
        <v>#REF!</v>
      </c>
      <c r="E29" s="170" t="e">
        <f>'инновации+добровольчество0,41'!#REF!</f>
        <v>#REF!</v>
      </c>
    </row>
    <row r="30" spans="1:5" ht="12" hidden="1" customHeight="1" x14ac:dyDescent="0.25">
      <c r="A30" s="544"/>
      <c r="B30" s="543"/>
      <c r="C30" s="111" t="e">
        <f>'инновации+добровольчество0,41'!#REF!</f>
        <v>#REF!</v>
      </c>
      <c r="D30" s="256" t="e">
        <f>'инновации+добровольчество0,41'!#REF!</f>
        <v>#REF!</v>
      </c>
      <c r="E30" s="170" t="e">
        <f>'инновации+добровольчество0,41'!#REF!</f>
        <v>#REF!</v>
      </c>
    </row>
    <row r="31" spans="1:5" ht="31.5" hidden="1" customHeight="1" x14ac:dyDescent="0.25">
      <c r="A31" s="544"/>
      <c r="B31" s="543"/>
      <c r="C31" s="111" t="e">
        <f>'инновации+добровольчество0,41'!#REF!</f>
        <v>#REF!</v>
      </c>
      <c r="D31" s="256" t="e">
        <f>'инновации+добровольчество0,41'!#REF!</f>
        <v>#REF!</v>
      </c>
      <c r="E31" s="170" t="e">
        <f>'инновации+добровольчество0,41'!#REF!</f>
        <v>#REF!</v>
      </c>
    </row>
    <row r="32" spans="1:5" ht="31.15" hidden="1" customHeight="1" x14ac:dyDescent="0.25">
      <c r="A32" s="544"/>
      <c r="B32" s="543"/>
      <c r="C32" s="111" t="e">
        <f>'инновации+добровольчество0,41'!#REF!</f>
        <v>#REF!</v>
      </c>
      <c r="D32" s="256" t="e">
        <f>'инновации+добровольчество0,41'!#REF!</f>
        <v>#REF!</v>
      </c>
      <c r="E32" s="170" t="e">
        <f>'инновации+добровольчество0,41'!#REF!</f>
        <v>#REF!</v>
      </c>
    </row>
    <row r="33" spans="1:5" ht="12" customHeight="1" x14ac:dyDescent="0.25">
      <c r="A33" s="544"/>
      <c r="B33" s="543"/>
      <c r="C33" s="548" t="s">
        <v>139</v>
      </c>
      <c r="D33" s="549"/>
      <c r="E33" s="550"/>
    </row>
    <row r="34" spans="1:5" ht="12" customHeight="1" x14ac:dyDescent="0.25">
      <c r="A34" s="544"/>
      <c r="B34" s="543"/>
      <c r="C34" s="548" t="s">
        <v>140</v>
      </c>
      <c r="D34" s="549"/>
      <c r="E34" s="550"/>
    </row>
    <row r="35" spans="1:5" ht="21" customHeight="1" x14ac:dyDescent="0.25">
      <c r="A35" s="544"/>
      <c r="B35" s="543"/>
      <c r="C35" s="12" t="str">
        <f>'инновации+добровольчество0,41'!A225</f>
        <v>Теплоэнергия</v>
      </c>
      <c r="D35" s="117" t="str">
        <f>'инновации+добровольчество0,41'!B225</f>
        <v>Гкал</v>
      </c>
      <c r="E35" s="118">
        <f>'инновации+добровольчество0,41'!D225</f>
        <v>22.549999999999997</v>
      </c>
    </row>
    <row r="36" spans="1:5" ht="12" customHeight="1" x14ac:dyDescent="0.25">
      <c r="A36" s="544"/>
      <c r="B36" s="543"/>
      <c r="C36" s="12" t="str">
        <f>'инновации+добровольчество0,41'!A226</f>
        <v xml:space="preserve">Водоснабжение </v>
      </c>
      <c r="D36" s="117" t="str">
        <f>'инновации+добровольчество0,41'!B226</f>
        <v>м2</v>
      </c>
      <c r="E36" s="118">
        <f>'инновации+добровольчество0,41'!D226</f>
        <v>43.582999999999998</v>
      </c>
    </row>
    <row r="37" spans="1:5" ht="12" customHeight="1" x14ac:dyDescent="0.25">
      <c r="A37" s="544"/>
      <c r="B37" s="543"/>
      <c r="C37" s="12" t="str">
        <f>'инновации+добровольчество0,41'!A227</f>
        <v>Водоотведение (септик)</v>
      </c>
      <c r="D37" s="117" t="str">
        <f>'инновации+добровольчество0,41'!B227</f>
        <v>м3</v>
      </c>
      <c r="E37" s="118">
        <f>'инновации+добровольчество0,41'!D227</f>
        <v>2.46</v>
      </c>
    </row>
    <row r="38" spans="1:5" ht="12" customHeight="1" x14ac:dyDescent="0.25">
      <c r="A38" s="544"/>
      <c r="B38" s="543"/>
      <c r="C38" s="12" t="str">
        <f>'инновации+добровольчество0,41'!A228</f>
        <v>Электроэнергия</v>
      </c>
      <c r="D38" s="117" t="str">
        <f>'инновации+добровольчество0,41'!B228</f>
        <v>МВт час.</v>
      </c>
      <c r="E38" s="118">
        <f>'инновации+добровольчество0,41'!D228</f>
        <v>2.46</v>
      </c>
    </row>
    <row r="39" spans="1:5" ht="12" customHeight="1" x14ac:dyDescent="0.25">
      <c r="A39" s="544"/>
      <c r="B39" s="543"/>
      <c r="C39" s="12" t="str">
        <f>'инновации+добровольчество0,41'!A229</f>
        <v>ТКО</v>
      </c>
      <c r="D39" s="117" t="str">
        <f>'инновации+добровольчество0,41'!B229</f>
        <v>договор</v>
      </c>
      <c r="E39" s="118">
        <f>'инновации+добровольчество0,41'!D229</f>
        <v>1.4907599999999999</v>
      </c>
    </row>
    <row r="40" spans="1:5" ht="14.45" customHeight="1" x14ac:dyDescent="0.25">
      <c r="A40" s="544"/>
      <c r="B40" s="543"/>
      <c r="C40" s="248" t="str">
        <f>'инновации+добровольчество0,41'!A230</f>
        <v>Электроэнергия (резерв)</v>
      </c>
      <c r="D40" s="248" t="str">
        <f>'инновации+добровольчество0,41'!B230</f>
        <v>МВт час.</v>
      </c>
      <c r="E40" s="117">
        <f>'инновации+добровольчество0,41'!D230</f>
        <v>1.3726799999999999</v>
      </c>
    </row>
    <row r="41" spans="1:5" ht="26.25" customHeight="1" x14ac:dyDescent="0.25">
      <c r="A41" s="544"/>
      <c r="B41" s="543"/>
      <c r="C41" s="551" t="s">
        <v>141</v>
      </c>
      <c r="D41" s="552"/>
      <c r="E41" s="553"/>
    </row>
    <row r="42" spans="1:5" ht="14.45" customHeight="1" x14ac:dyDescent="0.25">
      <c r="A42" s="544"/>
      <c r="B42" s="543"/>
      <c r="C42" s="126" t="str">
        <f>'инновации+добровольчество0,41'!A266</f>
        <v xml:space="preserve">Мониторинг систем пожарной сигнализации  </v>
      </c>
      <c r="D42" s="117" t="s">
        <v>22</v>
      </c>
      <c r="E42" s="237">
        <f>'инновации+добровольчество0,41'!D266</f>
        <v>4.92</v>
      </c>
    </row>
    <row r="43" spans="1:5" ht="14.45" customHeight="1" x14ac:dyDescent="0.25">
      <c r="A43" s="544"/>
      <c r="B43" s="543"/>
      <c r="C43" s="126" t="str">
        <f>'инновации+добровольчество0,41'!A267</f>
        <v xml:space="preserve">Уборка территории от снега </v>
      </c>
      <c r="D43" s="117" t="s">
        <v>22</v>
      </c>
      <c r="E43" s="237">
        <f>'инновации+добровольчество0,41'!D267</f>
        <v>0.82</v>
      </c>
    </row>
    <row r="44" spans="1:5" ht="14.45" customHeight="1" x14ac:dyDescent="0.25">
      <c r="A44" s="544"/>
      <c r="B44" s="543"/>
      <c r="C44" s="126" t="str">
        <f>'инновации+добровольчество0,41'!A268</f>
        <v>Профилактическая дезинфекция</v>
      </c>
      <c r="D44" s="117" t="s">
        <v>22</v>
      </c>
      <c r="E44" s="237">
        <f>'инновации+добровольчество0,41'!D268</f>
        <v>0.41</v>
      </c>
    </row>
    <row r="45" spans="1:5" ht="14.45" customHeight="1" x14ac:dyDescent="0.25">
      <c r="A45" s="544"/>
      <c r="B45" s="543"/>
      <c r="C45" s="126" t="str">
        <f>'инновации+добровольчество0,41'!A269</f>
        <v>Изготовление окна регистрации</v>
      </c>
      <c r="D45" s="117" t="s">
        <v>22</v>
      </c>
      <c r="E45" s="237">
        <f>'инновации+добровольчество0,41'!D269</f>
        <v>0.41</v>
      </c>
    </row>
    <row r="46" spans="1:5" ht="14.45" customHeight="1" x14ac:dyDescent="0.25">
      <c r="A46" s="544"/>
      <c r="B46" s="543"/>
      <c r="C46" s="126" t="str">
        <f>'инновации+добровольчество0,41'!A270</f>
        <v>Замена аккумулятора охранной сигнализации</v>
      </c>
      <c r="D46" s="117" t="s">
        <v>22</v>
      </c>
      <c r="E46" s="237">
        <f>'инновации+добровольчество0,41'!D270</f>
        <v>0.41</v>
      </c>
    </row>
    <row r="47" spans="1:5" ht="22.5" customHeight="1" x14ac:dyDescent="0.25">
      <c r="A47" s="544"/>
      <c r="B47" s="543"/>
      <c r="C47" s="12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D47" s="117" t="s">
        <v>22</v>
      </c>
      <c r="E47" s="237">
        <f>'инновации+добровольчество0,41'!D271</f>
        <v>0.41</v>
      </c>
    </row>
    <row r="48" spans="1:5" ht="19.5" customHeight="1" x14ac:dyDescent="0.25">
      <c r="A48" s="544"/>
      <c r="B48" s="543"/>
      <c r="C48" s="126" t="str">
        <f>'инновации+добровольчество0,41'!A272</f>
        <v>Договор осмотр технического состояния автомобиля</v>
      </c>
      <c r="D48" s="117" t="s">
        <v>22</v>
      </c>
      <c r="E48" s="237">
        <f>'инновации+добровольчество0,41'!D272</f>
        <v>34.85</v>
      </c>
    </row>
    <row r="49" spans="1:5" ht="13.5" customHeight="1" x14ac:dyDescent="0.25">
      <c r="A49" s="544"/>
      <c r="B49" s="543"/>
      <c r="C49" s="126" t="str">
        <f>'инновации+добровольчество0,41'!A273</f>
        <v>Техническое обслуживание систем пожарной сигнализации</v>
      </c>
      <c r="D49" s="117" t="s">
        <v>22</v>
      </c>
      <c r="E49" s="237">
        <f>'инновации+добровольчество0,41'!D273</f>
        <v>4.92</v>
      </c>
    </row>
    <row r="50" spans="1:5" ht="17.25" customHeight="1" x14ac:dyDescent="0.25">
      <c r="A50" s="544"/>
      <c r="B50" s="543"/>
      <c r="C50" s="126" t="str">
        <f>'инновации+добровольчество0,41'!A274</f>
        <v>Заправка катриджей</v>
      </c>
      <c r="D50" s="117" t="s">
        <v>22</v>
      </c>
      <c r="E50" s="237">
        <f>'инновации+добровольчество0,41'!D274</f>
        <v>4.0999999999999996</v>
      </c>
    </row>
    <row r="51" spans="1:5" ht="35.25" customHeight="1" x14ac:dyDescent="0.25">
      <c r="A51" s="544"/>
      <c r="B51" s="543"/>
      <c r="C51" s="126" t="str">
        <f>'инновации+добровольчество0,41'!A275</f>
        <v xml:space="preserve">ремонта отмостки и крылец здания МБУ «МЦ АУРУМ». </v>
      </c>
      <c r="D51" s="117" t="s">
        <v>22</v>
      </c>
      <c r="E51" s="237">
        <f>'инновации+добровольчество0,41'!D275</f>
        <v>0.41</v>
      </c>
    </row>
    <row r="52" spans="1:5" ht="20.25" customHeight="1" x14ac:dyDescent="0.25">
      <c r="A52" s="544"/>
      <c r="B52" s="543"/>
      <c r="C52" s="126">
        <f>'инновации+добровольчество0,41'!A276</f>
        <v>0</v>
      </c>
      <c r="D52" s="117" t="s">
        <v>22</v>
      </c>
      <c r="E52" s="237">
        <f>'инновации+добровольчество0,41'!D276</f>
        <v>0.41</v>
      </c>
    </row>
    <row r="53" spans="1:5" x14ac:dyDescent="0.25">
      <c r="A53" s="544"/>
      <c r="B53" s="543"/>
      <c r="C53" s="126" t="str">
        <f>'инновации+добровольчество0,41'!A277</f>
        <v>промывка и опрессовка</v>
      </c>
      <c r="D53" s="117" t="s">
        <v>22</v>
      </c>
      <c r="E53" s="237">
        <f>'инновации+добровольчество0,41'!D277</f>
        <v>0.41</v>
      </c>
    </row>
    <row r="54" spans="1:5" ht="18" customHeight="1" x14ac:dyDescent="0.25">
      <c r="A54" s="544"/>
      <c r="B54" s="543"/>
      <c r="C54" s="126" t="str">
        <f>'инновации+добровольчество0,41'!A278</f>
        <v>Обучение электроустановки</v>
      </c>
      <c r="D54" s="117" t="s">
        <v>22</v>
      </c>
      <c r="E54" s="237">
        <f>'инновации+добровольчество0,41'!D278</f>
        <v>0.82</v>
      </c>
    </row>
    <row r="55" spans="1:5" ht="12" customHeight="1" x14ac:dyDescent="0.25">
      <c r="A55" s="544"/>
      <c r="B55" s="543"/>
      <c r="C55" s="126" t="str">
        <f>'инновации+добровольчество0,41'!A279</f>
        <v>обучение молодежная политика</v>
      </c>
      <c r="D55" s="117" t="s">
        <v>22</v>
      </c>
      <c r="E55" s="237">
        <f>'инновации+добровольчество0,41'!D279</f>
        <v>0.41</v>
      </c>
    </row>
    <row r="56" spans="1:5" ht="21" customHeight="1" x14ac:dyDescent="0.25">
      <c r="A56" s="544"/>
      <c r="B56" s="543"/>
      <c r="C56" s="126" t="str">
        <f>'инновации+добровольчество0,41'!A280</f>
        <v>обучение персонала</v>
      </c>
      <c r="D56" s="117" t="s">
        <v>22</v>
      </c>
      <c r="E56" s="237">
        <f>'инновации+добровольчество0,41'!D280</f>
        <v>0.82</v>
      </c>
    </row>
    <row r="57" spans="1:5" ht="21" customHeight="1" x14ac:dyDescent="0.25">
      <c r="A57" s="544"/>
      <c r="B57" s="543"/>
      <c r="C57" s="126" t="str">
        <f>'инновации+добровольчество0,41'!A281</f>
        <v>Возмещение мед осмотра (112/212)</v>
      </c>
      <c r="D57" s="117" t="s">
        <v>22</v>
      </c>
      <c r="E57" s="237">
        <f>'инновации+добровольчество0,41'!D281</f>
        <v>0.41</v>
      </c>
    </row>
    <row r="58" spans="1:5" ht="21" customHeight="1" x14ac:dyDescent="0.25">
      <c r="A58" s="544"/>
      <c r="B58" s="543"/>
      <c r="C58" s="126" t="str">
        <f>'инновации+добровольчество0,41'!A282</f>
        <v>Услуги СЕМИС подписка</v>
      </c>
      <c r="D58" s="117" t="s">
        <v>22</v>
      </c>
      <c r="E58" s="237">
        <f>'инновации+добровольчество0,41'!D282</f>
        <v>0.41</v>
      </c>
    </row>
    <row r="59" spans="1:5" ht="21" customHeight="1" x14ac:dyDescent="0.25">
      <c r="A59" s="544"/>
      <c r="B59" s="543"/>
      <c r="C59" s="126" t="str">
        <f>'инновации+добровольчество0,41'!A283</f>
        <v>Изготовление полка двухуровневого для создания открытого пространства</v>
      </c>
      <c r="D59" s="117" t="s">
        <v>22</v>
      </c>
      <c r="E59" s="237">
        <f>'инновации+добровольчество0,41'!D283</f>
        <v>0.41</v>
      </c>
    </row>
    <row r="60" spans="1:5" ht="21" customHeight="1" x14ac:dyDescent="0.25">
      <c r="A60" s="544"/>
      <c r="B60" s="543"/>
      <c r="C60" s="126" t="str">
        <f>'инновации+добровольчество0,41'!A284</f>
        <v>Предрейсовое медицинское обследование 200дней*85руб</v>
      </c>
      <c r="D60" s="117" t="s">
        <v>22</v>
      </c>
      <c r="E60" s="237">
        <f>'инновации+добровольчество0,41'!D284</f>
        <v>82</v>
      </c>
    </row>
    <row r="61" spans="1:5" ht="21" customHeight="1" x14ac:dyDescent="0.25">
      <c r="A61" s="544"/>
      <c r="B61" s="543"/>
      <c r="C61" s="126" t="str">
        <f>'инновации+добровольчество0,41'!A285</f>
        <v xml:space="preserve">Услуги охраны  </v>
      </c>
      <c r="D61" s="117" t="s">
        <v>22</v>
      </c>
      <c r="E61" s="237">
        <f>'инновации+добровольчество0,41'!D285</f>
        <v>4.92</v>
      </c>
    </row>
    <row r="62" spans="1:5" ht="21" customHeight="1" x14ac:dyDescent="0.25">
      <c r="A62" s="544"/>
      <c r="B62" s="543"/>
      <c r="C62" s="126" t="str">
        <f>'инновации+добровольчество0,41'!A286</f>
        <v>Обслуживание систем охранных средств сигнализации (тревожная кнопка)</v>
      </c>
      <c r="D62" s="117" t="s">
        <v>22</v>
      </c>
      <c r="E62" s="237">
        <f>'инновации+добровольчество0,41'!D286</f>
        <v>4.92</v>
      </c>
    </row>
    <row r="63" spans="1:5" ht="21" customHeight="1" x14ac:dyDescent="0.25">
      <c r="A63" s="544"/>
      <c r="B63" s="543"/>
      <c r="C63" s="126" t="str">
        <f>'инновации+добровольчество0,41'!A287</f>
        <v>Изготовление декоративного камина</v>
      </c>
      <c r="D63" s="117" t="s">
        <v>22</v>
      </c>
      <c r="E63" s="237">
        <f>'инновации+добровольчество0,41'!D287</f>
        <v>0.41</v>
      </c>
    </row>
    <row r="64" spans="1:5" ht="21" customHeight="1" x14ac:dyDescent="0.25">
      <c r="A64" s="544"/>
      <c r="B64" s="543"/>
      <c r="C64" s="126" t="str">
        <f>'инновации+добровольчество0,41'!A288</f>
        <v>Организация питания воинов-интернационалистов</v>
      </c>
      <c r="D64" s="117" t="s">
        <v>22</v>
      </c>
      <c r="E64" s="237">
        <f>'инновации+добровольчество0,41'!D288</f>
        <v>0.41</v>
      </c>
    </row>
    <row r="65" spans="1:5" ht="21" customHeight="1" x14ac:dyDescent="0.25">
      <c r="A65" s="544"/>
      <c r="B65" s="543"/>
      <c r="C65" s="126" t="str">
        <f>'инновации+добровольчество0,41'!A289</f>
        <v>изготовление металлической фигуры медведя (ГПХ)</v>
      </c>
      <c r="D65" s="117" t="s">
        <v>22</v>
      </c>
      <c r="E65" s="237">
        <f>'инновации+добровольчество0,41'!D289</f>
        <v>0.41</v>
      </c>
    </row>
    <row r="66" spans="1:5" ht="21" customHeight="1" x14ac:dyDescent="0.25">
      <c r="A66" s="544"/>
      <c r="B66" s="543"/>
      <c r="C66" s="126" t="str">
        <f>'инновации+добровольчество0,41'!A290</f>
        <v>Microsoft Windows 10</v>
      </c>
      <c r="D66" s="117" t="s">
        <v>22</v>
      </c>
      <c r="E66" s="237">
        <f>'инновации+добровольчество0,41'!D290</f>
        <v>0.82</v>
      </c>
    </row>
    <row r="67" spans="1:5" ht="21" customHeight="1" x14ac:dyDescent="0.25">
      <c r="A67" s="544"/>
      <c r="B67" s="543"/>
      <c r="C67" s="126" t="str">
        <f>'инновации+добровольчество0,41'!A291</f>
        <v>Microsoft Office 2013</v>
      </c>
      <c r="D67" s="117" t="s">
        <v>22</v>
      </c>
      <c r="E67" s="237">
        <f>'инновации+добровольчество0,41'!D291</f>
        <v>0.82</v>
      </c>
    </row>
    <row r="68" spans="1:5" ht="21" customHeight="1" x14ac:dyDescent="0.25">
      <c r="A68" s="544"/>
      <c r="B68" s="543"/>
      <c r="C68" s="554" t="s">
        <v>142</v>
      </c>
      <c r="D68" s="555"/>
      <c r="E68" s="556"/>
    </row>
    <row r="69" spans="1:5" ht="21" customHeight="1" x14ac:dyDescent="0.25">
      <c r="A69" s="544"/>
      <c r="B69" s="543"/>
      <c r="C69" s="119" t="str">
        <f>'инновации+добровольчество0,41'!A246</f>
        <v>переговоры по району, мин</v>
      </c>
      <c r="D69" s="145" t="s">
        <v>90</v>
      </c>
      <c r="E69" s="237">
        <f>'инновации+добровольчество0,41'!D246</f>
        <v>45.391099999999994</v>
      </c>
    </row>
    <row r="70" spans="1:5" ht="21" customHeight="1" x14ac:dyDescent="0.25">
      <c r="A70" s="544"/>
      <c r="B70" s="543"/>
      <c r="C70" s="119" t="str">
        <f>'инновации+добровольчество0,41'!A247</f>
        <v>Переговоры за пределами района,мин</v>
      </c>
      <c r="D70" s="145" t="s">
        <v>22</v>
      </c>
      <c r="E70" s="237">
        <f>'инновации+добровольчество0,41'!D247</f>
        <v>4.1081999999999992</v>
      </c>
    </row>
    <row r="71" spans="1:5" ht="21" customHeight="1" x14ac:dyDescent="0.25">
      <c r="A71" s="544"/>
      <c r="B71" s="543"/>
      <c r="C71" s="119" t="str">
        <f>'инновации+добровольчество0,41'!A248</f>
        <v>Абоненская плата за услуги связи, номеров</v>
      </c>
      <c r="D71" s="145" t="s">
        <v>37</v>
      </c>
      <c r="E71" s="237">
        <f>'инновации+добровольчество0,41'!D248</f>
        <v>0.41</v>
      </c>
    </row>
    <row r="72" spans="1:5" ht="21" customHeight="1" x14ac:dyDescent="0.25">
      <c r="A72" s="544"/>
      <c r="B72" s="543"/>
      <c r="C72" s="119" t="str">
        <f>'инновации+добровольчество0,41'!A249</f>
        <v xml:space="preserve">Абоненская плата за услуги Интернет </v>
      </c>
      <c r="D72" s="145" t="s">
        <v>37</v>
      </c>
      <c r="E72" s="237">
        <f>'инновации+добровольчество0,41'!D249</f>
        <v>0.41</v>
      </c>
    </row>
    <row r="73" spans="1:5" ht="21" customHeight="1" x14ac:dyDescent="0.25">
      <c r="A73" s="544"/>
      <c r="B73" s="543"/>
      <c r="C73" s="119" t="str">
        <f>'инновации+добровольчество0,41'!A250</f>
        <v>Почтовые конверты</v>
      </c>
      <c r="D73" s="145" t="s">
        <v>38</v>
      </c>
      <c r="E73" s="237">
        <f>'инновации+добровольчество0,41'!D250</f>
        <v>69.7</v>
      </c>
    </row>
    <row r="74" spans="1:5" ht="16.149999999999999" hidden="1" customHeight="1" x14ac:dyDescent="0.25">
      <c r="A74" s="544"/>
      <c r="B74" s="543"/>
      <c r="C74" s="119" t="e">
        <f>'инновации+добровольчество0,41'!#REF!</f>
        <v>#REF!</v>
      </c>
      <c r="D74" s="145" t="s">
        <v>38</v>
      </c>
      <c r="E74" s="237" t="e">
        <f>'инновации+добровольчество0,41'!#REF!</f>
        <v>#REF!</v>
      </c>
    </row>
    <row r="75" spans="1:5" ht="15.6" hidden="1" customHeight="1" x14ac:dyDescent="0.25">
      <c r="A75" s="544"/>
      <c r="B75" s="543"/>
      <c r="C75" s="119" t="e">
        <f>'инновации+добровольчество0,41'!#REF!</f>
        <v>#REF!</v>
      </c>
      <c r="D75" s="145" t="s">
        <v>22</v>
      </c>
      <c r="E75" s="237" t="e">
        <f>'инновации+добровольчество0,41'!#REF!</f>
        <v>#REF!</v>
      </c>
    </row>
    <row r="76" spans="1:5" s="146" customFormat="1" ht="12" customHeight="1" x14ac:dyDescent="0.2">
      <c r="A76" s="544"/>
      <c r="B76" s="543"/>
      <c r="C76" s="557" t="s">
        <v>143</v>
      </c>
      <c r="D76" s="558"/>
      <c r="E76" s="559"/>
    </row>
    <row r="77" spans="1:5" s="146" customFormat="1" ht="12" customHeight="1" x14ac:dyDescent="0.2">
      <c r="A77" s="544"/>
      <c r="B77" s="543"/>
      <c r="C77" s="110" t="s">
        <v>193</v>
      </c>
      <c r="D77" s="147" t="s">
        <v>147</v>
      </c>
      <c r="E77" s="238">
        <f>'инновации+добровольчество0,41'!D188</f>
        <v>0.41</v>
      </c>
    </row>
    <row r="78" spans="1:5" s="146" customFormat="1" ht="12" customHeight="1" x14ac:dyDescent="0.2">
      <c r="A78" s="544"/>
      <c r="B78" s="543"/>
      <c r="C78" s="120" t="s">
        <v>145</v>
      </c>
      <c r="D78" s="147" t="s">
        <v>138</v>
      </c>
      <c r="E78" s="238">
        <f>'инновации+добровольчество0,41'!D189</f>
        <v>0.41</v>
      </c>
    </row>
    <row r="79" spans="1:5" s="146" customFormat="1" ht="12" customHeight="1" x14ac:dyDescent="0.2">
      <c r="A79" s="544"/>
      <c r="B79" s="543"/>
      <c r="C79" s="120" t="s">
        <v>91</v>
      </c>
      <c r="D79" s="147" t="s">
        <v>138</v>
      </c>
      <c r="E79" s="238">
        <f>'инновации+добровольчество0,41'!D190</f>
        <v>0.20499999999999999</v>
      </c>
    </row>
    <row r="80" spans="1:5" s="146" customFormat="1" ht="12" customHeight="1" x14ac:dyDescent="0.2">
      <c r="A80" s="544"/>
      <c r="B80" s="543"/>
      <c r="C80" s="120" t="s">
        <v>146</v>
      </c>
      <c r="D80" s="147" t="s">
        <v>138</v>
      </c>
      <c r="E80" s="238">
        <f>'инновации+добровольчество0,41'!D191</f>
        <v>0.41</v>
      </c>
    </row>
    <row r="81" spans="1:5" s="146" customFormat="1" ht="12" customHeight="1" x14ac:dyDescent="0.2">
      <c r="A81" s="544"/>
      <c r="B81" s="543"/>
      <c r="C81" s="537" t="s">
        <v>150</v>
      </c>
      <c r="D81" s="538"/>
      <c r="E81" s="539"/>
    </row>
    <row r="82" spans="1:5" s="146" customFormat="1" ht="12" customHeight="1" x14ac:dyDescent="0.2">
      <c r="A82" s="544"/>
      <c r="B82" s="543"/>
      <c r="C82" s="122" t="str">
        <f>'инновации+добровольчество0,41'!A216</f>
        <v>Пособие по уходу за ребенком до 3-х лет</v>
      </c>
      <c r="D82" s="123" t="s">
        <v>126</v>
      </c>
      <c r="E82" s="234">
        <f>E77</f>
        <v>0.41</v>
      </c>
    </row>
    <row r="83" spans="1:5" s="146" customFormat="1" ht="12" customHeight="1" x14ac:dyDescent="0.2">
      <c r="A83" s="544"/>
      <c r="B83" s="543"/>
      <c r="C83" s="557" t="s">
        <v>151</v>
      </c>
      <c r="D83" s="558"/>
      <c r="E83" s="559"/>
    </row>
    <row r="84" spans="1:5" s="146" customFormat="1" ht="12" customHeight="1" x14ac:dyDescent="0.2">
      <c r="A84" s="544"/>
      <c r="B84" s="543"/>
      <c r="C84" s="121" t="s">
        <v>202</v>
      </c>
      <c r="D84" s="101" t="s">
        <v>39</v>
      </c>
      <c r="E84" s="230">
        <f>'инновации+добровольчество0,41'!E237</f>
        <v>0.41</v>
      </c>
    </row>
    <row r="85" spans="1:5" ht="28.15" customHeight="1" x14ac:dyDescent="0.25">
      <c r="A85" s="544"/>
      <c r="B85" s="543"/>
      <c r="C85" s="121" t="s">
        <v>203</v>
      </c>
      <c r="D85" s="101" t="s">
        <v>39</v>
      </c>
      <c r="E85" s="230">
        <f>'инновации+добровольчество0,41'!E238</f>
        <v>0.33500000000000002</v>
      </c>
    </row>
    <row r="86" spans="1:5" ht="28.15" customHeight="1" x14ac:dyDescent="0.25">
      <c r="A86" s="544"/>
      <c r="B86" s="543"/>
      <c r="C86" s="121" t="s">
        <v>204</v>
      </c>
      <c r="D86" s="101" t="s">
        <v>39</v>
      </c>
      <c r="E86" s="230">
        <f>'инновации+добровольчество0,41'!E239</f>
        <v>0.33500000000000002</v>
      </c>
    </row>
    <row r="87" spans="1:5" ht="28.15" customHeight="1" x14ac:dyDescent="0.25">
      <c r="A87" s="544"/>
      <c r="B87" s="543"/>
      <c r="C87" s="540" t="s">
        <v>152</v>
      </c>
      <c r="D87" s="541"/>
      <c r="E87" s="542"/>
    </row>
    <row r="88" spans="1:5" ht="28.15" hidden="1" customHeight="1" x14ac:dyDescent="0.25">
      <c r="A88" s="544"/>
      <c r="B88" s="543"/>
      <c r="C88" s="124" t="str">
        <f>'инновации+добровольчество0,41'!A257</f>
        <v>Проезд к месту учебы</v>
      </c>
      <c r="D88" s="125" t="s">
        <v>126</v>
      </c>
      <c r="E88" s="84">
        <f>'инновации+добровольчество0,41'!D257</f>
        <v>0</v>
      </c>
    </row>
    <row r="89" spans="1:5" ht="22.15" customHeight="1" x14ac:dyDescent="0.25">
      <c r="A89" s="544"/>
      <c r="B89" s="543"/>
      <c r="C89" s="124" t="str">
        <f>'инновации+добровольчество0,41'!A258</f>
        <v>Провоз груза 2000 кг (1 кг=9,50 руб)</v>
      </c>
      <c r="D89" s="125" t="s">
        <v>22</v>
      </c>
      <c r="E89" s="84">
        <f>'инновации+добровольчество0,41'!D258</f>
        <v>0.41</v>
      </c>
    </row>
    <row r="90" spans="1:5" ht="19.5" customHeight="1" x14ac:dyDescent="0.25">
      <c r="A90" s="544"/>
      <c r="B90" s="543"/>
      <c r="C90" s="554" t="s">
        <v>153</v>
      </c>
      <c r="D90" s="555"/>
      <c r="E90" s="556"/>
    </row>
    <row r="91" spans="1:5" ht="24" customHeight="1" x14ac:dyDescent="0.25">
      <c r="A91" s="544"/>
      <c r="B91" s="543"/>
      <c r="C91" s="112" t="str">
        <f>'инновации+добровольчество0,41'!A298</f>
        <v>Пиломатериал доска 100*50*6000</v>
      </c>
      <c r="D91" s="67" t="str">
        <f>'инновации+добровольчество0,41'!B298</f>
        <v>шт</v>
      </c>
      <c r="E91" s="170">
        <f>'инновации+добровольчество0,41'!D298</f>
        <v>0.41</v>
      </c>
    </row>
    <row r="92" spans="1:5" ht="24" customHeight="1" x14ac:dyDescent="0.25">
      <c r="A92" s="544"/>
      <c r="B92" s="543"/>
      <c r="C92" s="112" t="str">
        <f>'инновации+добровольчество0,41'!A299</f>
        <v>Брусок 100*100*6000</v>
      </c>
      <c r="D92" s="67" t="str">
        <f>'инновации+добровольчество0,41'!B299</f>
        <v>шт</v>
      </c>
      <c r="E92" s="170">
        <f>'инновации+добровольчество0,41'!D299</f>
        <v>0.41</v>
      </c>
    </row>
    <row r="93" spans="1:5" ht="18.75" customHeight="1" x14ac:dyDescent="0.25">
      <c r="A93" s="544"/>
      <c r="B93" s="543"/>
      <c r="C93" s="112" t="str">
        <f>'инновации+добровольчество0,41'!A300</f>
        <v>Искусственный камень</v>
      </c>
      <c r="D93" s="67" t="str">
        <f>'инновации+добровольчество0,41'!B300</f>
        <v>шт</v>
      </c>
      <c r="E93" s="170">
        <f>'инновации+добровольчество0,41'!D300</f>
        <v>4.0999999999999996</v>
      </c>
    </row>
    <row r="94" spans="1:5" ht="18.75" customHeight="1" x14ac:dyDescent="0.25">
      <c r="A94" s="544"/>
      <c r="B94" s="543"/>
      <c r="C94" s="112" t="str">
        <f>'инновации+добровольчество0,41'!A301</f>
        <v>карбонат монолитный</v>
      </c>
      <c r="D94" s="67" t="str">
        <f>'инновации+добровольчество0,41'!B301</f>
        <v>шт</v>
      </c>
      <c r="E94" s="170">
        <f>'инновации+добровольчество0,41'!D301</f>
        <v>2.0499999999999998</v>
      </c>
    </row>
    <row r="95" spans="1:5" ht="24" customHeight="1" x14ac:dyDescent="0.25">
      <c r="A95" s="544"/>
      <c r="B95" s="543"/>
      <c r="C95" s="112" t="str">
        <f>'инновации+добровольчество0,41'!A302</f>
        <v>Катридж CN54AE HP 933XL</v>
      </c>
      <c r="D95" s="67" t="str">
        <f>'инновации+добровольчество0,41'!B302</f>
        <v>шт</v>
      </c>
      <c r="E95" s="170">
        <f>'инновации+добровольчество0,41'!D302</f>
        <v>3.69</v>
      </c>
    </row>
    <row r="96" spans="1:5" ht="24" customHeight="1" x14ac:dyDescent="0.25">
      <c r="A96" s="544"/>
      <c r="B96" s="543"/>
      <c r="C96" s="112" t="str">
        <f>'инновации+добровольчество0,41'!A303</f>
        <v>Катридж CN54AE HP 932XL</v>
      </c>
      <c r="D96" s="67" t="str">
        <f>'инновации+добровольчество0,41'!B303</f>
        <v>шт</v>
      </c>
      <c r="E96" s="170">
        <f>'инновации+добровольчество0,41'!D303</f>
        <v>1.23</v>
      </c>
    </row>
    <row r="97" spans="1:5" ht="18.600000000000001" customHeight="1" x14ac:dyDescent="0.25">
      <c r="A97" s="544"/>
      <c r="B97" s="543"/>
      <c r="C97" s="112" t="str">
        <f>'инновации+добровольчество0,41'!A304</f>
        <v>Чернила Canon Gl-490C PIXMA</v>
      </c>
      <c r="D97" s="67" t="str">
        <f>'инновации+добровольчество0,41'!B304</f>
        <v>шт</v>
      </c>
      <c r="E97" s="170">
        <f>'инновации+добровольчество0,41'!D304</f>
        <v>4.92</v>
      </c>
    </row>
    <row r="98" spans="1:5" ht="15.6" customHeight="1" x14ac:dyDescent="0.25">
      <c r="A98" s="544"/>
      <c r="B98" s="543"/>
      <c r="C98" s="112" t="str">
        <f>'инновации+добровольчество0,41'!A305</f>
        <v>Бумага А4 500 шт. SvetoCopy</v>
      </c>
      <c r="D98" s="67" t="str">
        <f>'инновации+добровольчество0,41'!B305</f>
        <v>шт</v>
      </c>
      <c r="E98" s="170">
        <f>'инновации+добровольчество0,41'!D305</f>
        <v>12.299999999999999</v>
      </c>
    </row>
    <row r="99" spans="1:5" ht="12" customHeight="1" x14ac:dyDescent="0.25">
      <c r="A99" s="544"/>
      <c r="B99" s="543"/>
      <c r="C99" s="112" t="str">
        <f>'инновации+добровольчество0,41'!A306</f>
        <v>Бумага А3 500 шт. SvetoCopy</v>
      </c>
      <c r="D99" s="67" t="str">
        <f>'инновации+добровольчество0,41'!B306</f>
        <v>шт</v>
      </c>
      <c r="E99" s="170">
        <f>'инновации+добровольчество0,41'!D306</f>
        <v>8.1999999999999993</v>
      </c>
    </row>
    <row r="100" spans="1:5" ht="12" customHeight="1" x14ac:dyDescent="0.25">
      <c r="A100" s="544"/>
      <c r="B100" s="543"/>
      <c r="C100" s="112" t="str">
        <f>'инновации+добровольчество0,41'!A307</f>
        <v>Фанера</v>
      </c>
      <c r="D100" s="67" t="str">
        <f>'инновации+добровольчество0,41'!B307</f>
        <v>шт</v>
      </c>
      <c r="E100" s="170">
        <f>'инновации+добровольчество0,41'!D307</f>
        <v>0.41</v>
      </c>
    </row>
    <row r="101" spans="1:5" ht="12" customHeight="1" x14ac:dyDescent="0.25">
      <c r="A101" s="544"/>
      <c r="B101" s="543"/>
      <c r="C101" s="112" t="str">
        <f>'инновации+добровольчество0,41'!A308</f>
        <v>Антифриз</v>
      </c>
      <c r="D101" s="67" t="str">
        <f>'инновации+добровольчество0,41'!B308</f>
        <v>шт</v>
      </c>
      <c r="E101" s="170">
        <f>'инновации+добровольчество0,41'!D308</f>
        <v>12.299999999999999</v>
      </c>
    </row>
    <row r="102" spans="1:5" ht="12" customHeight="1" x14ac:dyDescent="0.25">
      <c r="A102" s="544"/>
      <c r="B102" s="543"/>
      <c r="C102" s="112" t="str">
        <f>'инновации+добровольчество0,41'!A309</f>
        <v>насадка на швабру</v>
      </c>
      <c r="D102" s="67" t="str">
        <f>'инновации+добровольчество0,41'!B309</f>
        <v>шт</v>
      </c>
      <c r="E102" s="170">
        <f>'инновации+добровольчество0,41'!D309</f>
        <v>4.0999999999999996</v>
      </c>
    </row>
    <row r="103" spans="1:5" ht="12" customHeight="1" x14ac:dyDescent="0.25">
      <c r="A103" s="544"/>
      <c r="B103" s="543"/>
      <c r="C103" s="112" t="str">
        <f>'инновации+добровольчество0,41'!A310</f>
        <v>дез ср/во для сантехники</v>
      </c>
      <c r="D103" s="67" t="str">
        <f>'инновации+добровольчество0,41'!B310</f>
        <v>шт</v>
      </c>
      <c r="E103" s="170">
        <f>'инновации+добровольчество0,41'!D310</f>
        <v>0.82</v>
      </c>
    </row>
    <row r="104" spans="1:5" ht="12" hidden="1" customHeight="1" x14ac:dyDescent="0.25">
      <c r="A104" s="544"/>
      <c r="B104" s="543"/>
      <c r="C104" s="112" t="str">
        <f>'инновации+добровольчество0,41'!A311</f>
        <v>ср-во для чистки стекол</v>
      </c>
      <c r="D104" s="67" t="str">
        <f>'инновации+добровольчество0,41'!B311</f>
        <v>шт</v>
      </c>
      <c r="E104" s="170">
        <f>'инновации+добровольчество0,41'!D311</f>
        <v>2.0499999999999998</v>
      </c>
    </row>
    <row r="105" spans="1:5" ht="12" hidden="1" customHeight="1" x14ac:dyDescent="0.25">
      <c r="A105" s="544"/>
      <c r="B105" s="543"/>
      <c r="C105" s="112" t="str">
        <f>'инновации+добровольчество0,41'!A312</f>
        <v>ватные диски +терм</v>
      </c>
      <c r="D105" s="67" t="str">
        <f>'инновации+добровольчество0,41'!B312</f>
        <v>шт</v>
      </c>
      <c r="E105" s="170">
        <f>'инновации+добровольчество0,41'!D312</f>
        <v>0.41</v>
      </c>
    </row>
    <row r="106" spans="1:5" ht="12" customHeight="1" x14ac:dyDescent="0.25">
      <c r="A106" s="544"/>
      <c r="B106" s="543"/>
      <c r="C106" s="112" t="str">
        <f>'инновации+добровольчество0,41'!A313</f>
        <v>щит мет</v>
      </c>
      <c r="D106" s="67" t="str">
        <f>'инновации+добровольчество0,41'!B313</f>
        <v>шт</v>
      </c>
      <c r="E106" s="170">
        <f>'инновации+добровольчество0,41'!D313</f>
        <v>0.41</v>
      </c>
    </row>
    <row r="107" spans="1:5" ht="12" hidden="1" customHeight="1" x14ac:dyDescent="0.25">
      <c r="A107" s="544"/>
      <c r="B107" s="543"/>
      <c r="C107" s="112" t="str">
        <f>'инновации+добровольчество0,41'!A314</f>
        <v>уголок</v>
      </c>
      <c r="D107" s="67" t="str">
        <f>'инновации+добровольчество0,41'!B314</f>
        <v>шт</v>
      </c>
      <c r="E107" s="170">
        <f>'инновации+добровольчество0,41'!D314</f>
        <v>0.82</v>
      </c>
    </row>
    <row r="108" spans="1:5" ht="12" hidden="1" customHeight="1" x14ac:dyDescent="0.25">
      <c r="A108" s="544"/>
      <c r="B108" s="543"/>
      <c r="C108" s="112" t="str">
        <f>'инновации+добровольчество0,41'!A315</f>
        <v>держатель зерк</v>
      </c>
      <c r="D108" s="67" t="str">
        <f>'инновации+добровольчество0,41'!B315</f>
        <v>шт</v>
      </c>
      <c r="E108" s="170">
        <f>'инновации+добровольчество0,41'!D315</f>
        <v>2.46</v>
      </c>
    </row>
    <row r="109" spans="1:5" ht="12" hidden="1" customHeight="1" x14ac:dyDescent="0.25">
      <c r="A109" s="544"/>
      <c r="B109" s="543"/>
      <c r="C109" s="112" t="str">
        <f>'инновации+добровольчество0,41'!A316</f>
        <v>краска</v>
      </c>
      <c r="D109" s="67" t="str">
        <f>'инновации+добровольчество0,41'!B316</f>
        <v>шт</v>
      </c>
      <c r="E109" s="170">
        <f>'инновации+добровольчество0,41'!D316</f>
        <v>0.41</v>
      </c>
    </row>
    <row r="110" spans="1:5" ht="12" hidden="1" customHeight="1" x14ac:dyDescent="0.25">
      <c r="A110" s="544"/>
      <c r="B110" s="543"/>
      <c r="C110" s="112" t="str">
        <f>'инновации+добровольчество0,41'!A317</f>
        <v>колер</v>
      </c>
      <c r="D110" s="67" t="str">
        <f>'инновации+добровольчество0,41'!B317</f>
        <v>шт</v>
      </c>
      <c r="E110" s="170">
        <f>'инновации+добровольчество0,41'!D317</f>
        <v>3.69</v>
      </c>
    </row>
    <row r="111" spans="1:5" ht="12" hidden="1" customHeight="1" x14ac:dyDescent="0.25">
      <c r="A111" s="544"/>
      <c r="B111" s="543"/>
      <c r="C111" s="112" t="str">
        <f>'инновации+добровольчество0,41'!A318</f>
        <v>эмаль</v>
      </c>
      <c r="D111" s="67" t="str">
        <f>'инновации+добровольчество0,41'!B318</f>
        <v>шт</v>
      </c>
      <c r="E111" s="170">
        <f>'инновации+добровольчество0,41'!D318</f>
        <v>0.41</v>
      </c>
    </row>
    <row r="112" spans="1:5" ht="12" customHeight="1" x14ac:dyDescent="0.25">
      <c r="A112" s="544"/>
      <c r="B112" s="543"/>
      <c r="C112" s="112" t="str">
        <f>'инновации+добровольчество0,41'!A319</f>
        <v>Молоток</v>
      </c>
      <c r="D112" s="67" t="str">
        <f>'инновации+добровольчество0,41'!B319</f>
        <v>шт</v>
      </c>
      <c r="E112" s="170">
        <f>'инновации+добровольчество0,41'!D319</f>
        <v>1.23</v>
      </c>
    </row>
    <row r="113" spans="1:5" ht="12" customHeight="1" x14ac:dyDescent="0.25">
      <c r="A113" s="544"/>
      <c r="B113" s="543"/>
      <c r="C113" s="112" t="str">
        <f>'инновации+добровольчество0,41'!A320</f>
        <v>Гвозди</v>
      </c>
      <c r="D113" s="67" t="str">
        <f>'инновации+добровольчество0,41'!B320</f>
        <v>шт</v>
      </c>
      <c r="E113" s="170">
        <f>'инновации+добровольчество0,41'!D320</f>
        <v>0.82</v>
      </c>
    </row>
    <row r="114" spans="1:5" ht="12" customHeight="1" x14ac:dyDescent="0.25">
      <c r="A114" s="544"/>
      <c r="B114" s="543"/>
      <c r="C114" s="112" t="str">
        <f>'инновации+добровольчество0,41'!A321</f>
        <v>Тонер НР</v>
      </c>
      <c r="D114" s="67" t="str">
        <f>'инновации+добровольчество0,41'!B321</f>
        <v>шт</v>
      </c>
      <c r="E114" s="170">
        <f>'инновации+добровольчество0,41'!D321</f>
        <v>0.82</v>
      </c>
    </row>
    <row r="115" spans="1:5" ht="12" customHeight="1" x14ac:dyDescent="0.25">
      <c r="A115" s="544"/>
      <c r="B115" s="543"/>
      <c r="C115" s="112" t="str">
        <f>'инновации+добровольчество0,41'!A322</f>
        <v>Тонер Canon</v>
      </c>
      <c r="D115" s="67" t="str">
        <f>'инновации+добровольчество0,41'!B322</f>
        <v>шт</v>
      </c>
      <c r="E115" s="170">
        <f>'инновации+добровольчество0,41'!D322</f>
        <v>0.41</v>
      </c>
    </row>
    <row r="116" spans="1:5" ht="12" customHeight="1" x14ac:dyDescent="0.25">
      <c r="A116" s="544"/>
      <c r="B116" s="543"/>
      <c r="C116" s="112" t="str">
        <f>'инновации+добровольчество0,41'!A323</f>
        <v>Эмаль</v>
      </c>
      <c r="D116" s="67" t="str">
        <f>'инновации+добровольчество0,41'!B323</f>
        <v>шт</v>
      </c>
      <c r="E116" s="170">
        <f>'инновации+добровольчество0,41'!D323</f>
        <v>0.82</v>
      </c>
    </row>
    <row r="117" spans="1:5" ht="12" customHeight="1" x14ac:dyDescent="0.25">
      <c r="A117" s="544"/>
      <c r="B117" s="543"/>
      <c r="C117" s="112" t="str">
        <f>'инновации+добровольчество0,41'!A324</f>
        <v>Эмаль аэрозоль</v>
      </c>
      <c r="D117" s="67" t="str">
        <f>'инновации+добровольчество0,41'!B324</f>
        <v>шт</v>
      </c>
      <c r="E117" s="170">
        <f>'инновации+добровольчество0,41'!D324</f>
        <v>3.28</v>
      </c>
    </row>
    <row r="118" spans="1:5" ht="12" customHeight="1" x14ac:dyDescent="0.25">
      <c r="A118" s="544"/>
      <c r="B118" s="543"/>
      <c r="C118" s="112" t="str">
        <f>'инновации+добровольчество0,41'!A325</f>
        <v>пакет майка</v>
      </c>
      <c r="D118" s="67" t="str">
        <f>'инновации+добровольчество0,41'!B325</f>
        <v>шт</v>
      </c>
      <c r="E118" s="170">
        <f>'инновации+добровольчество0,41'!D325</f>
        <v>0.41</v>
      </c>
    </row>
    <row r="119" spans="1:5" ht="12" customHeight="1" x14ac:dyDescent="0.25">
      <c r="A119" s="544"/>
      <c r="B119" s="543"/>
      <c r="C119" s="112" t="str">
        <f>'инновации+добровольчество0,41'!A326</f>
        <v>шпилька резьбовая</v>
      </c>
      <c r="D119" s="67" t="str">
        <f>'инновации+добровольчество0,41'!B326</f>
        <v>шт</v>
      </c>
      <c r="E119" s="170">
        <f>'инновации+добровольчество0,41'!D326</f>
        <v>0.82</v>
      </c>
    </row>
    <row r="120" spans="1:5" ht="12" customHeight="1" x14ac:dyDescent="0.25">
      <c r="A120" s="544"/>
      <c r="B120" s="543"/>
      <c r="C120" s="112" t="str">
        <f>'инновации+добровольчество0,41'!A327</f>
        <v>сверло</v>
      </c>
      <c r="D120" s="67" t="str">
        <f>'инновации+добровольчество0,41'!B327</f>
        <v>шт</v>
      </c>
      <c r="E120" s="170">
        <f>'инновации+добровольчество0,41'!D327</f>
        <v>0.41</v>
      </c>
    </row>
    <row r="121" spans="1:5" ht="12" customHeight="1" x14ac:dyDescent="0.25">
      <c r="A121" s="544"/>
      <c r="B121" s="543"/>
      <c r="C121" s="112" t="str">
        <f>'инновации+добровольчество0,41'!A328</f>
        <v>антифриз</v>
      </c>
      <c r="D121" s="67" t="str">
        <f>'инновации+добровольчество0,41'!B328</f>
        <v>шт</v>
      </c>
      <c r="E121" s="170">
        <f>'инновации+добровольчество0,41'!D328</f>
        <v>0.82</v>
      </c>
    </row>
    <row r="122" spans="1:5" ht="12" customHeight="1" x14ac:dyDescent="0.25">
      <c r="A122" s="544"/>
      <c r="B122" s="543"/>
      <c r="C122" s="112" t="str">
        <f>'инновации+добровольчество0,41'!A329</f>
        <v>ледоруб</v>
      </c>
      <c r="D122" s="67" t="str">
        <f>'инновации+добровольчество0,41'!B329</f>
        <v>шт</v>
      </c>
      <c r="E122" s="170">
        <f>'инновации+добровольчество0,41'!D329</f>
        <v>0.41</v>
      </c>
    </row>
    <row r="123" spans="1:5" ht="12" customHeight="1" x14ac:dyDescent="0.25">
      <c r="A123" s="544"/>
      <c r="B123" s="543"/>
      <c r="C123" s="112" t="str">
        <f>'инновации+добровольчество0,41'!A330</f>
        <v>труба</v>
      </c>
      <c r="D123" s="67" t="str">
        <f>'инновации+добровольчество0,41'!B330</f>
        <v>шт</v>
      </c>
      <c r="E123" s="170">
        <f>'инновации+добровольчество0,41'!D330</f>
        <v>1.23</v>
      </c>
    </row>
    <row r="124" spans="1:5" ht="12" customHeight="1" x14ac:dyDescent="0.25">
      <c r="A124" s="544"/>
      <c r="B124" s="543"/>
      <c r="C124" s="112" t="str">
        <f>'инновации+добровольчество0,41'!A331</f>
        <v>кронштейн</v>
      </c>
      <c r="D124" s="67" t="str">
        <f>'инновации+добровольчество0,41'!B331</f>
        <v>шт</v>
      </c>
      <c r="E124" s="170">
        <f>'инновации+добровольчество0,41'!D331</f>
        <v>0.82</v>
      </c>
    </row>
    <row r="125" spans="1:5" ht="15" customHeight="1" x14ac:dyDescent="0.25">
      <c r="A125" s="544"/>
      <c r="B125" s="543"/>
      <c r="C125" s="112" t="str">
        <f>'инновации+добровольчество0,41'!A332</f>
        <v>электрод</v>
      </c>
      <c r="D125" s="67" t="str">
        <f>'инновации+добровольчество0,41'!B332</f>
        <v>шт</v>
      </c>
      <c r="E125" s="170">
        <f>'инновации+добровольчество0,41'!D332</f>
        <v>0.41</v>
      </c>
    </row>
    <row r="126" spans="1:5" x14ac:dyDescent="0.25">
      <c r="A126" s="544"/>
      <c r="B126" s="543"/>
      <c r="C126" s="112" t="str">
        <f>'инновации+добровольчество0,41'!A333</f>
        <v>круг отрезной</v>
      </c>
      <c r="D126" s="67" t="str">
        <f>'инновации+добровольчество0,41'!B333</f>
        <v>шт</v>
      </c>
      <c r="E126" s="170">
        <f>'инновации+добровольчество0,41'!D333</f>
        <v>4.51</v>
      </c>
    </row>
    <row r="127" spans="1:5" x14ac:dyDescent="0.25">
      <c r="A127" s="544"/>
      <c r="B127" s="543"/>
      <c r="C127" s="112" t="str">
        <f>'инновации+добровольчество0,41'!A334</f>
        <v>круг отрезной</v>
      </c>
      <c r="D127" s="67" t="str">
        <f>'инновации+добровольчество0,41'!B334</f>
        <v>шт</v>
      </c>
      <c r="E127" s="170">
        <f>'инновации+добровольчество0,41'!D334</f>
        <v>1.23</v>
      </c>
    </row>
    <row r="128" spans="1:5" x14ac:dyDescent="0.25">
      <c r="A128" s="544"/>
      <c r="B128" s="543"/>
      <c r="C128" s="112" t="str">
        <f>'инновации+добровольчество0,41'!A335</f>
        <v>круг отрезной</v>
      </c>
      <c r="D128" s="67" t="str">
        <f>'инновации+добровольчество0,41'!B335</f>
        <v>шт</v>
      </c>
      <c r="E128" s="170">
        <f>'инновации+добровольчество0,41'!D335</f>
        <v>0.41</v>
      </c>
    </row>
    <row r="129" spans="1:5" x14ac:dyDescent="0.25">
      <c r="A129" s="544"/>
      <c r="B129" s="543"/>
      <c r="C129" s="112" t="str">
        <f>'инновации+добровольчество0,41'!A336</f>
        <v>круг зачистной</v>
      </c>
      <c r="D129" s="67" t="str">
        <f>'инновации+добровольчество0,41'!B336</f>
        <v>шт</v>
      </c>
      <c r="E129" s="170">
        <f>'инновации+добровольчество0,41'!D336</f>
        <v>0.41</v>
      </c>
    </row>
    <row r="130" spans="1:5" x14ac:dyDescent="0.25">
      <c r="A130" s="544"/>
      <c r="B130" s="543"/>
      <c r="C130" s="112" t="str">
        <f>'инновации+добровольчество0,41'!A337</f>
        <v>кабель-канал</v>
      </c>
      <c r="D130" s="67" t="str">
        <f>'инновации+добровольчество0,41'!B337</f>
        <v>шт</v>
      </c>
      <c r="E130" s="170">
        <f>'инновации+добровольчество0,41'!D337</f>
        <v>0.41</v>
      </c>
    </row>
    <row r="131" spans="1:5" x14ac:dyDescent="0.25">
      <c r="A131" s="544"/>
      <c r="B131" s="543"/>
      <c r="C131" s="112" t="str">
        <f>'инновации+добровольчество0,41'!A338</f>
        <v>саморез</v>
      </c>
      <c r="D131" s="67" t="str">
        <f>'инновации+добровольчество0,41'!B338</f>
        <v>шт</v>
      </c>
      <c r="E131" s="170">
        <f>'инновации+добровольчество0,41'!D338</f>
        <v>20.5</v>
      </c>
    </row>
    <row r="132" spans="1:5" x14ac:dyDescent="0.25">
      <c r="A132" s="544"/>
      <c r="B132" s="543"/>
      <c r="C132" s="112" t="str">
        <f>'инновации+добровольчество0,41'!A339</f>
        <v>лопата</v>
      </c>
      <c r="D132" s="67" t="str">
        <f>'инновации+добровольчество0,41'!B339</f>
        <v>шт</v>
      </c>
      <c r="E132" s="170">
        <f>'инновации+добровольчество0,41'!D339</f>
        <v>0.82</v>
      </c>
    </row>
    <row r="133" spans="1:5" x14ac:dyDescent="0.25">
      <c r="A133" s="544"/>
      <c r="B133" s="543"/>
      <c r="C133" s="112" t="str">
        <f>'инновации+добровольчество0,41'!A340</f>
        <v>черенок</v>
      </c>
      <c r="D133" s="67" t="str">
        <f>'инновации+добровольчество0,41'!B340</f>
        <v>шт</v>
      </c>
      <c r="E133" s="170">
        <f>'инновации+добровольчество0,41'!D340</f>
        <v>0.82</v>
      </c>
    </row>
    <row r="134" spans="1:5" x14ac:dyDescent="0.25">
      <c r="A134" s="544"/>
      <c r="B134" s="543"/>
      <c r="C134" s="112" t="str">
        <f>'инновации+добровольчество0,41'!A341</f>
        <v>домкрат</v>
      </c>
      <c r="D134" s="67" t="str">
        <f>'инновации+добровольчество0,41'!B341</f>
        <v>шт</v>
      </c>
      <c r="E134" s="170">
        <f>'инновации+добровольчество0,41'!D341</f>
        <v>0.41</v>
      </c>
    </row>
    <row r="135" spans="1:5" x14ac:dyDescent="0.25">
      <c r="A135" s="544"/>
      <c r="B135" s="543"/>
      <c r="C135" s="112" t="str">
        <f>'инновации+добровольчество0,41'!A342</f>
        <v>стяжка</v>
      </c>
      <c r="D135" s="67" t="str">
        <f>'инновации+добровольчество0,41'!B342</f>
        <v>шт</v>
      </c>
      <c r="E135" s="170">
        <f>'инновации+добровольчество0,41'!D342</f>
        <v>0.41</v>
      </c>
    </row>
    <row r="136" spans="1:5" x14ac:dyDescent="0.25">
      <c r="A136" s="544"/>
      <c r="B136" s="543"/>
      <c r="C136" s="112" t="str">
        <f>'инновации+добровольчество0,41'!A343</f>
        <v>смазка</v>
      </c>
      <c r="D136" s="67" t="str">
        <f>'инновации+добровольчество0,41'!B343</f>
        <v>шт</v>
      </c>
      <c r="E136" s="170">
        <f>'инновации+добровольчество0,41'!D343</f>
        <v>0.41</v>
      </c>
    </row>
    <row r="137" spans="1:5" x14ac:dyDescent="0.25">
      <c r="A137" s="544"/>
      <c r="B137" s="543"/>
      <c r="C137" s="112" t="str">
        <f>'инновации+добровольчество0,41'!A344</f>
        <v>лопата</v>
      </c>
      <c r="D137" s="67" t="str">
        <f>'инновации+добровольчество0,41'!B344</f>
        <v>шт</v>
      </c>
      <c r="E137" s="170">
        <f>'инновации+добровольчество0,41'!D344</f>
        <v>0.41</v>
      </c>
    </row>
    <row r="138" spans="1:5" x14ac:dyDescent="0.25">
      <c r="A138" s="544"/>
      <c r="B138" s="543"/>
      <c r="C138" s="112" t="str">
        <f>'инновации+добровольчество0,41'!A345</f>
        <v>ключи</v>
      </c>
      <c r="D138" s="67" t="str">
        <f>'инновации+добровольчество0,41'!B345</f>
        <v>шт</v>
      </c>
      <c r="E138" s="170">
        <f>'инновации+добровольчество0,41'!D345</f>
        <v>0.41</v>
      </c>
    </row>
    <row r="139" spans="1:5" x14ac:dyDescent="0.25">
      <c r="A139" s="544"/>
      <c r="B139" s="543"/>
      <c r="C139" s="112" t="str">
        <f>'инновации+добровольчество0,41'!A346</f>
        <v>болт</v>
      </c>
      <c r="D139" s="67" t="str">
        <f>'инновации+добровольчество0,41'!B346</f>
        <v>шт</v>
      </c>
      <c r="E139" s="170">
        <f>'инновации+добровольчество0,41'!D346</f>
        <v>1.64</v>
      </c>
    </row>
    <row r="140" spans="1:5" x14ac:dyDescent="0.25">
      <c r="A140" s="544"/>
      <c r="B140" s="543"/>
      <c r="C140" s="112" t="str">
        <f>'инновации+добровольчество0,41'!A347</f>
        <v>гайка</v>
      </c>
      <c r="D140" s="67" t="str">
        <f>'инновации+добровольчество0,41'!B347</f>
        <v>шт</v>
      </c>
      <c r="E140" s="170">
        <f>'инновации+добровольчество0,41'!D347</f>
        <v>1.64</v>
      </c>
    </row>
    <row r="141" spans="1:5" x14ac:dyDescent="0.25">
      <c r="A141" s="544"/>
      <c r="B141" s="543"/>
      <c r="C141" s="112" t="str">
        <f>'инновации+добровольчество0,41'!A348</f>
        <v>эмаль аэрозоль</v>
      </c>
      <c r="D141" s="67" t="str">
        <f>'инновации+добровольчество0,41'!B348</f>
        <v>шт</v>
      </c>
      <c r="E141" s="170">
        <f>'инновации+добровольчество0,41'!D348</f>
        <v>1.23</v>
      </c>
    </row>
    <row r="142" spans="1:5" x14ac:dyDescent="0.25">
      <c r="A142" s="544"/>
      <c r="B142" s="543"/>
      <c r="C142" s="112" t="str">
        <f>'инновации+добровольчество0,41'!A349</f>
        <v>бумага нажд</v>
      </c>
      <c r="D142" s="67" t="str">
        <f>'инновации+добровольчество0,41'!B349</f>
        <v>шт</v>
      </c>
      <c r="E142" s="170">
        <f>'инновации+добровольчество0,41'!D349</f>
        <v>8.1999999999999993</v>
      </c>
    </row>
    <row r="143" spans="1:5" x14ac:dyDescent="0.25">
      <c r="A143" s="544"/>
      <c r="B143" s="543"/>
      <c r="C143" s="112" t="str">
        <f>'инновации+добровольчество0,41'!A350</f>
        <v>круг отрезной</v>
      </c>
      <c r="D143" s="67" t="str">
        <f>'инновации+добровольчество0,41'!B350</f>
        <v>шт</v>
      </c>
      <c r="E143" s="170">
        <f>'инновации+добровольчество0,41'!D350</f>
        <v>4.0999999999999996</v>
      </c>
    </row>
    <row r="144" spans="1:5" x14ac:dyDescent="0.25">
      <c r="A144" s="544"/>
      <c r="B144" s="543"/>
      <c r="C144" s="112" t="str">
        <f>'инновации+добровольчество0,41'!A351</f>
        <v>герметик</v>
      </c>
      <c r="D144" s="67" t="str">
        <f>'инновации+добровольчество0,41'!B351</f>
        <v>шт</v>
      </c>
      <c r="E144" s="170">
        <f>'инновации+добровольчество0,41'!D351</f>
        <v>0.41</v>
      </c>
    </row>
    <row r="145" spans="1:5" x14ac:dyDescent="0.25">
      <c r="A145" s="544"/>
      <c r="B145" s="543"/>
      <c r="C145" s="112" t="str">
        <f>'инновации+добровольчество0,41'!A352</f>
        <v>кенгуру</v>
      </c>
      <c r="D145" s="67" t="str">
        <f>'инновации+добровольчество0,41'!B352</f>
        <v>шт</v>
      </c>
      <c r="E145" s="170">
        <f>'инновации+добровольчество0,41'!D352</f>
        <v>0.82</v>
      </c>
    </row>
    <row r="146" spans="1:5" x14ac:dyDescent="0.25">
      <c r="A146" s="544"/>
      <c r="B146" s="543"/>
      <c r="C146" s="112" t="str">
        <f>'инновации+добровольчество0,41'!A353</f>
        <v>цемент 50 кг</v>
      </c>
      <c r="D146" s="67" t="str">
        <f>'инновации+добровольчество0,41'!B353</f>
        <v>шт</v>
      </c>
      <c r="E146" s="170">
        <f>'инновации+добровольчество0,41'!D353</f>
        <v>0.82</v>
      </c>
    </row>
    <row r="147" spans="1:5" x14ac:dyDescent="0.25">
      <c r="A147" s="544"/>
      <c r="B147" s="543"/>
      <c r="C147" s="112" t="str">
        <f>'инновации+добровольчество0,41'!A354</f>
        <v>эмаль аэрозоль</v>
      </c>
      <c r="D147" s="67" t="str">
        <f>'инновации+добровольчество0,41'!B354</f>
        <v>шт</v>
      </c>
      <c r="E147" s="170">
        <f>'инновации+добровольчество0,41'!D354</f>
        <v>2.0499999999999998</v>
      </c>
    </row>
    <row r="148" spans="1:5" x14ac:dyDescent="0.25">
      <c r="A148" s="544"/>
      <c r="B148" s="543"/>
      <c r="C148" s="112" t="str">
        <f>'инновации+добровольчество0,41'!A355</f>
        <v>эмаль аэрозоль</v>
      </c>
      <c r="D148" s="67" t="str">
        <f>'инновации+добровольчество0,41'!B355</f>
        <v>шт</v>
      </c>
      <c r="E148" s="170">
        <f>'инновации+добровольчество0,41'!D355</f>
        <v>2.0499999999999998</v>
      </c>
    </row>
    <row r="149" spans="1:5" x14ac:dyDescent="0.25">
      <c r="A149" s="544"/>
      <c r="B149" s="543"/>
      <c r="C149" s="112" t="str">
        <f>'инновации+добровольчество0,41'!A356</f>
        <v>рукав резина</v>
      </c>
      <c r="D149" s="67" t="str">
        <f>'инновации+добровольчество0,41'!B356</f>
        <v>шт</v>
      </c>
      <c r="E149" s="170">
        <f>'инновации+добровольчество0,41'!D356</f>
        <v>2.46</v>
      </c>
    </row>
    <row r="150" spans="1:5" x14ac:dyDescent="0.25">
      <c r="A150" s="544"/>
      <c r="B150" s="543"/>
      <c r="C150" s="112" t="str">
        <f>'инновации+добровольчество0,41'!A357</f>
        <v>лампа</v>
      </c>
      <c r="D150" s="67" t="str">
        <f>'инновации+добровольчество0,41'!B357</f>
        <v>шт</v>
      </c>
      <c r="E150" s="170">
        <f>'инновации+добровольчество0,41'!D357</f>
        <v>2.0499999999999998</v>
      </c>
    </row>
    <row r="151" spans="1:5" x14ac:dyDescent="0.25">
      <c r="A151" s="544"/>
      <c r="B151" s="543"/>
      <c r="C151" s="112" t="str">
        <f>'инновации+добровольчество0,41'!A358</f>
        <v>лампа энергосберегающая</v>
      </c>
      <c r="D151" s="67" t="str">
        <f>'инновации+добровольчество0,41'!B358</f>
        <v>шт</v>
      </c>
      <c r="E151" s="170">
        <f>'инновации+добровольчество0,41'!D358</f>
        <v>0.41</v>
      </c>
    </row>
    <row r="152" spans="1:5" x14ac:dyDescent="0.25">
      <c r="A152" s="544"/>
      <c r="B152" s="543"/>
      <c r="C152" s="112" t="str">
        <f>'инновации+добровольчество0,41'!A359</f>
        <v>антифриз</v>
      </c>
      <c r="D152" s="67" t="str">
        <f>'инновации+добровольчество0,41'!B359</f>
        <v>шт</v>
      </c>
      <c r="E152" s="170">
        <f>'инновации+добровольчество0,41'!D359</f>
        <v>0.41</v>
      </c>
    </row>
    <row r="153" spans="1:5" x14ac:dyDescent="0.25">
      <c r="A153" s="544"/>
      <c r="B153" s="543"/>
      <c r="C153" s="112" t="str">
        <f>'инновации+добровольчество0,41'!A360</f>
        <v>коврик автомобильный</v>
      </c>
      <c r="D153" s="67" t="str">
        <f>'инновации+добровольчество0,41'!B360</f>
        <v>шт</v>
      </c>
      <c r="E153" s="170">
        <f>'инновации+добровольчество0,41'!D360</f>
        <v>0.41</v>
      </c>
    </row>
    <row r="154" spans="1:5" x14ac:dyDescent="0.25">
      <c r="A154" s="544"/>
      <c r="B154" s="543"/>
      <c r="C154" s="112" t="str">
        <f>'инновации+добровольчество0,41'!A361</f>
        <v>краска акрил</v>
      </c>
      <c r="D154" s="67" t="str">
        <f>'инновации+добровольчество0,41'!B361</f>
        <v>шт</v>
      </c>
      <c r="E154" s="170">
        <f>'инновации+добровольчество0,41'!D361</f>
        <v>1.23</v>
      </c>
    </row>
    <row r="155" spans="1:5" x14ac:dyDescent="0.25">
      <c r="A155" s="544"/>
      <c r="B155" s="543"/>
      <c r="C155" s="112" t="str">
        <f>'инновации+добровольчество0,41'!A362</f>
        <v>валик</v>
      </c>
      <c r="D155" s="67" t="str">
        <f>'инновации+добровольчество0,41'!B362</f>
        <v>шт</v>
      </c>
      <c r="E155" s="170">
        <f>'инновации+добровольчество0,41'!D362</f>
        <v>1.64</v>
      </c>
    </row>
    <row r="156" spans="1:5" x14ac:dyDescent="0.25">
      <c r="A156" s="544"/>
      <c r="B156" s="543"/>
      <c r="C156" s="112" t="str">
        <f>'инновации+добровольчество0,41'!A363</f>
        <v>скотч маляр</v>
      </c>
      <c r="D156" s="67" t="str">
        <f>'инновации+добровольчество0,41'!B363</f>
        <v>шт</v>
      </c>
      <c r="E156" s="170">
        <f>'инновации+добровольчество0,41'!D363</f>
        <v>2.0499999999999998</v>
      </c>
    </row>
    <row r="157" spans="1:5" x14ac:dyDescent="0.25">
      <c r="A157" s="544"/>
      <c r="B157" s="543"/>
      <c r="C157" s="112" t="str">
        <f>'инновации+добровольчество0,41'!A364</f>
        <v xml:space="preserve">колер </v>
      </c>
      <c r="D157" s="67" t="str">
        <f>'инновации+добровольчество0,41'!B364</f>
        <v>шт</v>
      </c>
      <c r="E157" s="170">
        <f>'инновации+добровольчество0,41'!D364</f>
        <v>2.0499999999999998</v>
      </c>
    </row>
    <row r="158" spans="1:5" x14ac:dyDescent="0.25">
      <c r="A158" s="544"/>
      <c r="B158" s="543"/>
      <c r="C158" s="112" t="str">
        <f>'инновации+добровольчество0,41'!A365</f>
        <v>скотч маляр</v>
      </c>
      <c r="D158" s="67" t="str">
        <f>'инновации+добровольчество0,41'!B365</f>
        <v>шт</v>
      </c>
      <c r="E158" s="170">
        <f>'инновации+добровольчество0,41'!D365</f>
        <v>4.51</v>
      </c>
    </row>
    <row r="159" spans="1:5" x14ac:dyDescent="0.25">
      <c r="A159" s="544"/>
      <c r="B159" s="543"/>
      <c r="C159" s="112" t="str">
        <f>'инновации+добровольчество0,41'!A366</f>
        <v>паста колеровочная</v>
      </c>
      <c r="D159" s="67" t="str">
        <f>'инновации+добровольчество0,41'!B366</f>
        <v>шт</v>
      </c>
      <c r="E159" s="170">
        <f>'инновации+добровольчество0,41'!D366</f>
        <v>4.0999999999999996</v>
      </c>
    </row>
    <row r="160" spans="1:5" x14ac:dyDescent="0.25">
      <c r="A160" s="544"/>
      <c r="B160" s="543"/>
      <c r="C160" s="112" t="str">
        <f>'инновации+добровольчество0,41'!A367</f>
        <v>колер</v>
      </c>
      <c r="D160" s="67" t="str">
        <f>'инновации+добровольчество0,41'!B367</f>
        <v>шт</v>
      </c>
      <c r="E160" s="170">
        <f>'инновации+добровольчество0,41'!D367</f>
        <v>3.28</v>
      </c>
    </row>
    <row r="161" spans="1:5" x14ac:dyDescent="0.25">
      <c r="A161" s="544"/>
      <c r="B161" s="543"/>
      <c r="C161" s="112" t="str">
        <f>'инновации+добровольчество0,41'!A368</f>
        <v>краска акрил</v>
      </c>
      <c r="D161" s="67" t="str">
        <f>'инновации+добровольчество0,41'!B368</f>
        <v>шт</v>
      </c>
      <c r="E161" s="170">
        <f>'инновации+добровольчество0,41'!D368</f>
        <v>0.41</v>
      </c>
    </row>
    <row r="162" spans="1:5" x14ac:dyDescent="0.25">
      <c r="A162" s="544"/>
      <c r="B162" s="543"/>
      <c r="C162" s="112" t="str">
        <f>'инновации+добровольчество0,41'!A369</f>
        <v>насадка на валик</v>
      </c>
      <c r="D162" s="67" t="str">
        <f>'инновации+добровольчество0,41'!B369</f>
        <v>шт</v>
      </c>
      <c r="E162" s="170">
        <f>'инновации+добровольчество0,41'!D369</f>
        <v>1.64</v>
      </c>
    </row>
    <row r="163" spans="1:5" x14ac:dyDescent="0.25">
      <c r="A163" s="544"/>
      <c r="B163" s="543"/>
      <c r="C163" s="112" t="str">
        <f>'инновации+добровольчество0,41'!A370</f>
        <v>HDMI кабель 5м</v>
      </c>
      <c r="D163" s="67" t="str">
        <f>'инновации+добровольчество0,41'!B370</f>
        <v>шт</v>
      </c>
      <c r="E163" s="170">
        <f>'инновации+добровольчество0,41'!D370</f>
        <v>0.41</v>
      </c>
    </row>
    <row r="164" spans="1:5" x14ac:dyDescent="0.25">
      <c r="A164" s="544"/>
      <c r="B164" s="543"/>
      <c r="C164" s="112" t="str">
        <f>'инновации+добровольчество0,41'!A371</f>
        <v>HDMI кабель 10м</v>
      </c>
      <c r="D164" s="67" t="str">
        <f>'инновации+добровольчество0,41'!B371</f>
        <v>шт</v>
      </c>
      <c r="E164" s="170">
        <f>'инновации+добровольчество0,41'!D371</f>
        <v>0.41</v>
      </c>
    </row>
    <row r="165" spans="1:5" x14ac:dyDescent="0.25">
      <c r="A165" s="544"/>
      <c r="B165" s="543"/>
      <c r="C165" s="112" t="str">
        <f>'инновации+добровольчество0,41'!A372</f>
        <v>сумка для ноутбука</v>
      </c>
      <c r="D165" s="67" t="str">
        <f>'инновации+добровольчество0,41'!B372</f>
        <v>шт</v>
      </c>
      <c r="E165" s="170">
        <f>'инновации+добровольчество0,41'!D372</f>
        <v>1.23</v>
      </c>
    </row>
    <row r="166" spans="1:5" x14ac:dyDescent="0.25">
      <c r="A166" s="544"/>
      <c r="B166" s="543"/>
      <c r="C166" s="112" t="str">
        <f>'инновации+добровольчество0,41'!A373</f>
        <v>флеш карта</v>
      </c>
      <c r="D166" s="67" t="str">
        <f>'инновации+добровольчество0,41'!B373</f>
        <v>шт</v>
      </c>
      <c r="E166" s="170">
        <f>'инновации+добровольчество0,41'!D373</f>
        <v>2.46</v>
      </c>
    </row>
    <row r="167" spans="1:5" x14ac:dyDescent="0.25">
      <c r="A167" s="544"/>
      <c r="B167" s="543"/>
      <c r="C167" s="112" t="str">
        <f>'инновации+добровольчество0,41'!A374</f>
        <v>кулер для процессора</v>
      </c>
      <c r="D167" s="67" t="str">
        <f>'инновации+добровольчество0,41'!B374</f>
        <v>шт</v>
      </c>
      <c r="E167" s="170">
        <f>'инновации+добровольчество0,41'!D374</f>
        <v>0.41</v>
      </c>
    </row>
    <row r="168" spans="1:5" ht="15" customHeight="1" x14ac:dyDescent="0.25">
      <c r="A168" s="544"/>
      <c r="B168" s="543"/>
      <c r="C168" s="112" t="str">
        <f>'инновации+добровольчество0,41'!A375</f>
        <v>блок питания</v>
      </c>
      <c r="D168" s="67" t="str">
        <f>'инновации+добровольчество0,41'!B375</f>
        <v>шт</v>
      </c>
      <c r="E168" s="170">
        <f>'инновации+добровольчество0,41'!D375</f>
        <v>0.41</v>
      </c>
    </row>
    <row r="169" spans="1:5" ht="15" customHeight="1" x14ac:dyDescent="0.25">
      <c r="A169" s="544"/>
      <c r="B169" s="543"/>
      <c r="C169" s="112" t="str">
        <f>'инновации+добровольчество0,41'!A376</f>
        <v>клавиатура</v>
      </c>
      <c r="D169" s="67" t="str">
        <f>'инновации+добровольчество0,41'!B376</f>
        <v>шт</v>
      </c>
      <c r="E169" s="170">
        <f>'инновации+добровольчество0,41'!D376</f>
        <v>1.23</v>
      </c>
    </row>
    <row r="170" spans="1:5" ht="15" customHeight="1" x14ac:dyDescent="0.25">
      <c r="A170" s="544"/>
      <c r="B170" s="543"/>
      <c r="C170" s="112" t="str">
        <f>'инновации+добровольчество0,41'!A377</f>
        <v>снеговая лопата</v>
      </c>
      <c r="D170" s="67" t="str">
        <f>'инновации+добровольчество0,41'!B377</f>
        <v>шт</v>
      </c>
      <c r="E170" s="170">
        <f>'инновации+добровольчество0,41'!D377</f>
        <v>0.41</v>
      </c>
    </row>
    <row r="171" spans="1:5" x14ac:dyDescent="0.25">
      <c r="A171" s="544"/>
      <c r="B171" s="543"/>
      <c r="C171" s="112" t="str">
        <f>'инновации+добровольчество0,41'!A378</f>
        <v>уголок</v>
      </c>
      <c r="D171" s="67" t="str">
        <f>'инновации+добровольчество0,41'!B378</f>
        <v>шт</v>
      </c>
      <c r="E171" s="170">
        <f>'инновации+добровольчество0,41'!D378</f>
        <v>8.1999999999999993</v>
      </c>
    </row>
    <row r="172" spans="1:5" x14ac:dyDescent="0.25">
      <c r="A172" s="544"/>
      <c r="B172" s="543"/>
      <c r="C172" s="112" t="str">
        <f>'инновации+добровольчество0,41'!A379</f>
        <v>перчатки</v>
      </c>
      <c r="D172" s="67" t="str">
        <f>'инновации+добровольчество0,41'!B379</f>
        <v>шт</v>
      </c>
      <c r="E172" s="170">
        <f>'инновации+добровольчество0,41'!D379</f>
        <v>0.41</v>
      </c>
    </row>
    <row r="173" spans="1:5" x14ac:dyDescent="0.25">
      <c r="A173" s="544"/>
      <c r="B173" s="543"/>
      <c r="C173" s="112" t="str">
        <f>'инновации+добровольчество0,41'!A380</f>
        <v>шпатель</v>
      </c>
      <c r="D173" s="67" t="str">
        <f>'инновации+добровольчество0,41'!B380</f>
        <v>шт</v>
      </c>
      <c r="E173" s="170">
        <f>'инновации+добровольчество0,41'!D380</f>
        <v>0.41</v>
      </c>
    </row>
    <row r="174" spans="1:5" ht="15" customHeight="1" x14ac:dyDescent="0.25">
      <c r="A174" s="544"/>
      <c r="B174" s="543"/>
      <c r="C174" s="112" t="str">
        <f>'инновации+добровольчество0,41'!A381</f>
        <v>шпатлевка</v>
      </c>
      <c r="D174" s="67" t="str">
        <f>'инновации+добровольчество0,41'!B381</f>
        <v>шт</v>
      </c>
      <c r="E174" s="170">
        <f>'инновации+добровольчество0,41'!D381</f>
        <v>0.41</v>
      </c>
    </row>
    <row r="175" spans="1:5" x14ac:dyDescent="0.25">
      <c r="A175" s="544"/>
      <c r="B175" s="543"/>
      <c r="C175" s="112" t="str">
        <f>'инновации+добровольчество0,41'!A382</f>
        <v>алебастр</v>
      </c>
      <c r="D175" s="67" t="str">
        <f>'инновации+добровольчество0,41'!B382</f>
        <v>шт</v>
      </c>
      <c r="E175" s="170">
        <f>'инновации+добровольчество0,41'!D382</f>
        <v>0.41</v>
      </c>
    </row>
    <row r="176" spans="1:5" ht="15" customHeight="1" x14ac:dyDescent="0.25">
      <c r="A176" s="544"/>
      <c r="B176" s="543"/>
      <c r="C176" s="112" t="str">
        <f>'инновации+добровольчество0,41'!A383</f>
        <v>кран шаровый</v>
      </c>
      <c r="D176" s="67" t="str">
        <f>'инновации+добровольчество0,41'!B383</f>
        <v>шт</v>
      </c>
      <c r="E176" s="170">
        <f>'инновации+добровольчество0,41'!D383</f>
        <v>2.46</v>
      </c>
    </row>
    <row r="177" spans="1:5" ht="15" customHeight="1" x14ac:dyDescent="0.25">
      <c r="A177" s="544"/>
      <c r="B177" s="543"/>
      <c r="C177" s="112" t="str">
        <f>'инновации+добровольчество0,41'!A384</f>
        <v>мешок зеленый</v>
      </c>
      <c r="D177" s="67" t="str">
        <f>'инновации+добровольчество0,41'!B384</f>
        <v>шт</v>
      </c>
      <c r="E177" s="170">
        <f>'инновации+добровольчество0,41'!D384</f>
        <v>20.5</v>
      </c>
    </row>
    <row r="178" spans="1:5" ht="15" customHeight="1" x14ac:dyDescent="0.25">
      <c r="A178" s="544"/>
      <c r="B178" s="543"/>
      <c r="C178" s="112" t="str">
        <f>'инновации+добровольчество0,41'!A385</f>
        <v>настольная игра "тараканьи бега"</v>
      </c>
      <c r="D178" s="67" t="str">
        <f>'инновации+добровольчество0,41'!B385</f>
        <v>шт</v>
      </c>
      <c r="E178" s="170">
        <f>'инновации+добровольчество0,41'!D385</f>
        <v>0.41</v>
      </c>
    </row>
    <row r="179" spans="1:5" ht="15" customHeight="1" x14ac:dyDescent="0.25">
      <c r="A179" s="544"/>
      <c r="B179" s="543"/>
      <c r="C179" s="112" t="str">
        <f>'инновации+добровольчество0,41'!A386</f>
        <v>настольная игра "Свинтус"</v>
      </c>
      <c r="D179" s="67" t="str">
        <f>'инновации+добровольчество0,41'!B386</f>
        <v>шт</v>
      </c>
      <c r="E179" s="170">
        <f>'инновации+добровольчество0,41'!D386</f>
        <v>0.41</v>
      </c>
    </row>
    <row r="180" spans="1:5" ht="15" customHeight="1" x14ac:dyDescent="0.25">
      <c r="A180" s="544"/>
      <c r="B180" s="543"/>
      <c r="C180" s="112" t="str">
        <f>'инновации+добровольчество0,41'!A387</f>
        <v>настольная игра "мафия"</v>
      </c>
      <c r="D180" s="67" t="str">
        <f>'инновации+добровольчество0,41'!B387</f>
        <v>шт</v>
      </c>
      <c r="E180" s="170">
        <f>'инновации+добровольчество0,41'!D387</f>
        <v>0.41</v>
      </c>
    </row>
    <row r="181" spans="1:5" ht="15" customHeight="1" x14ac:dyDescent="0.25">
      <c r="A181" s="544"/>
      <c r="B181" s="543"/>
      <c r="C181" s="112" t="str">
        <f>'инновации+добровольчество0,41'!A388</f>
        <v>мыло жидкое</v>
      </c>
      <c r="D181" s="67" t="str">
        <f>'инновации+добровольчество0,41'!B388</f>
        <v>шт</v>
      </c>
      <c r="E181" s="170">
        <f>'инновации+добровольчество0,41'!D388</f>
        <v>1.23</v>
      </c>
    </row>
    <row r="182" spans="1:5" x14ac:dyDescent="0.25">
      <c r="A182" s="544"/>
      <c r="B182" s="543"/>
      <c r="C182" s="112" t="str">
        <f>'инновации+добровольчество0,41'!A389</f>
        <v>насадка на швабру</v>
      </c>
      <c r="D182" s="67" t="str">
        <f>'инновации+добровольчество0,41'!B389</f>
        <v>шт</v>
      </c>
      <c r="E182" s="170">
        <f>'инновации+добровольчество0,41'!D389</f>
        <v>4.0999999999999996</v>
      </c>
    </row>
    <row r="183" spans="1:5" ht="15" customHeight="1" x14ac:dyDescent="0.25">
      <c r="A183" s="544"/>
      <c r="B183" s="543"/>
      <c r="C183" s="112" t="str">
        <f>'инновации+добровольчество0,41'!A390</f>
        <v>ведро пластик</v>
      </c>
      <c r="D183" s="67" t="str">
        <f>'инновации+добровольчество0,41'!B390</f>
        <v>шт</v>
      </c>
      <c r="E183" s="170">
        <f>'инновации+добровольчество0,41'!D390</f>
        <v>0.82</v>
      </c>
    </row>
    <row r="184" spans="1:5" ht="15" customHeight="1" x14ac:dyDescent="0.25">
      <c r="A184" s="544"/>
      <c r="B184" s="543"/>
      <c r="C184" s="112" t="str">
        <f>'инновации+добровольчество0,41'!A391</f>
        <v>туал бумага</v>
      </c>
      <c r="D184" s="67" t="str">
        <f>'инновации+добровольчество0,41'!B391</f>
        <v>шт</v>
      </c>
      <c r="E184" s="170">
        <f>'инновации+добровольчество0,41'!D391</f>
        <v>20.5</v>
      </c>
    </row>
    <row r="185" spans="1:5" ht="15" customHeight="1" x14ac:dyDescent="0.25">
      <c r="A185" s="544"/>
      <c r="B185" s="543"/>
      <c r="C185" s="112" t="str">
        <f>'инновации+добровольчество0,41'!A392</f>
        <v>кнопки силовые</v>
      </c>
      <c r="D185" s="67" t="str">
        <f>'инновации+добровольчество0,41'!B392</f>
        <v>шт</v>
      </c>
      <c r="E185" s="170">
        <f>'инновации+добровольчество0,41'!D392</f>
        <v>32.799999999999997</v>
      </c>
    </row>
    <row r="186" spans="1:5" x14ac:dyDescent="0.25">
      <c r="A186" s="544"/>
      <c r="B186" s="543"/>
      <c r="C186" s="112" t="str">
        <f>'инновации+добровольчество0,41'!A393</f>
        <v>канц нож</v>
      </c>
      <c r="D186" s="67" t="str">
        <f>'инновации+добровольчество0,41'!B393</f>
        <v>шт</v>
      </c>
      <c r="E186" s="170">
        <f>'инновации+добровольчество0,41'!D393</f>
        <v>4.0999999999999996</v>
      </c>
    </row>
    <row r="187" spans="1:5" ht="15" customHeight="1" x14ac:dyDescent="0.25">
      <c r="A187" s="544"/>
      <c r="B187" s="543"/>
      <c r="C187" s="112" t="str">
        <f>'инновации+добровольчество0,41'!A394</f>
        <v>нож для хобби</v>
      </c>
      <c r="D187" s="67" t="str">
        <f>'инновации+добровольчество0,41'!B394</f>
        <v>шт</v>
      </c>
      <c r="E187" s="170">
        <f>'инновации+добровольчество0,41'!D394</f>
        <v>2.0499999999999998</v>
      </c>
    </row>
    <row r="188" spans="1:5" ht="15" customHeight="1" x14ac:dyDescent="0.25">
      <c r="A188" s="544"/>
      <c r="B188" s="543"/>
      <c r="C188" s="112" t="str">
        <f>'инновации+добровольчество0,41'!A395</f>
        <v>магниты для доски (уп 9 шт)</v>
      </c>
      <c r="D188" s="67" t="str">
        <f>'инновации+добровольчество0,41'!B395</f>
        <v>шт</v>
      </c>
      <c r="E188" s="170">
        <f>'инновации+добровольчество0,41'!D395</f>
        <v>2.0499999999999998</v>
      </c>
    </row>
    <row r="189" spans="1:5" ht="15" customHeight="1" x14ac:dyDescent="0.25">
      <c r="A189" s="544"/>
      <c r="B189" s="543"/>
      <c r="C189" s="112" t="str">
        <f>'инновации+добровольчество0,41'!A396</f>
        <v>ежедневник</v>
      </c>
      <c r="D189" s="67" t="str">
        <f>'инновации+добровольчество0,41'!B396</f>
        <v>шт</v>
      </c>
      <c r="E189" s="170">
        <f>'инновации+добровольчество0,41'!D396</f>
        <v>2.0499999999999998</v>
      </c>
    </row>
    <row r="190" spans="1:5" x14ac:dyDescent="0.25">
      <c r="A190" s="544"/>
      <c r="B190" s="543"/>
      <c r="C190" s="112" t="str">
        <f>'инновации+добровольчество0,41'!A397</f>
        <v>ср-во для стекол</v>
      </c>
      <c r="D190" s="67" t="str">
        <f>'инновации+добровольчество0,41'!B397</f>
        <v>шт</v>
      </c>
      <c r="E190" s="170">
        <f>'инновации+добровольчество0,41'!D397</f>
        <v>0.82</v>
      </c>
    </row>
    <row r="191" spans="1:5" ht="15" customHeight="1" x14ac:dyDescent="0.25">
      <c r="A191" s="544"/>
      <c r="B191" s="543"/>
      <c r="C191" s="112" t="str">
        <f>'инновации+добровольчество0,41'!A398</f>
        <v>пемолюкс</v>
      </c>
      <c r="D191" s="67" t="str">
        <f>'инновации+добровольчество0,41'!B398</f>
        <v>шт</v>
      </c>
      <c r="E191" s="170">
        <f>'инновации+добровольчество0,41'!D398</f>
        <v>4.0999999999999996</v>
      </c>
    </row>
    <row r="192" spans="1:5" ht="15" customHeight="1" x14ac:dyDescent="0.25">
      <c r="A192" s="544"/>
      <c r="B192" s="543"/>
      <c r="C192" s="112" t="str">
        <f>'инновации+добровольчество0,41'!A399</f>
        <v>доместос</v>
      </c>
      <c r="D192" s="67" t="str">
        <f>'инновации+добровольчество0,41'!B399</f>
        <v>шт</v>
      </c>
      <c r="E192" s="170">
        <f>'инновации+добровольчество0,41'!D399</f>
        <v>1.64</v>
      </c>
    </row>
    <row r="193" spans="1:5" ht="15" customHeight="1" x14ac:dyDescent="0.25">
      <c r="A193" s="544"/>
      <c r="B193" s="543"/>
      <c r="C193" s="112" t="str">
        <f>'инновации+добровольчество0,41'!A400</f>
        <v>маркер</v>
      </c>
      <c r="D193" s="67" t="str">
        <f>'инновации+добровольчество0,41'!B400</f>
        <v>шт</v>
      </c>
      <c r="E193" s="170">
        <f>'инновации+добровольчество0,41'!D400</f>
        <v>12.299999999999999</v>
      </c>
    </row>
    <row r="194" spans="1:5" ht="15" customHeight="1" x14ac:dyDescent="0.25">
      <c r="A194" s="544"/>
      <c r="B194" s="543"/>
      <c r="C194" s="112" t="str">
        <f>'инновации+добровольчество0,41'!A401</f>
        <v>тал блок освеж</v>
      </c>
      <c r="D194" s="67" t="str">
        <f>'инновации+добровольчество0,41'!B401</f>
        <v>шт</v>
      </c>
      <c r="E194" s="170">
        <f>'инновации+добровольчество0,41'!D401</f>
        <v>4.0999999999999996</v>
      </c>
    </row>
    <row r="195" spans="1:5" ht="15" customHeight="1" x14ac:dyDescent="0.25">
      <c r="A195" s="544"/>
      <c r="B195" s="543"/>
      <c r="C195" s="112" t="str">
        <f>'инновации+добровольчество0,41'!A402</f>
        <v>футболка-поло белая с логотипом, мужская</v>
      </c>
      <c r="D195" s="67" t="str">
        <f>'инновации+добровольчество0,41'!B402</f>
        <v>шт</v>
      </c>
      <c r="E195" s="170">
        <f>'инновации+добровольчество0,41'!D402</f>
        <v>1.64</v>
      </c>
    </row>
    <row r="196" spans="1:5" ht="15" customHeight="1" x14ac:dyDescent="0.25">
      <c r="A196" s="544"/>
      <c r="B196" s="543"/>
      <c r="C196" s="112" t="str">
        <f>'инновации+добровольчество0,41'!A403</f>
        <v>футболка-поло белая с логотипом, женская</v>
      </c>
      <c r="D196" s="67" t="str">
        <f>'инновации+добровольчество0,41'!B403</f>
        <v>шт</v>
      </c>
      <c r="E196" s="170">
        <f>'инновации+добровольчество0,41'!D403</f>
        <v>3.69</v>
      </c>
    </row>
    <row r="197" spans="1:5" ht="15" customHeight="1" x14ac:dyDescent="0.25">
      <c r="A197" s="544"/>
      <c r="B197" s="543"/>
      <c r="C197" s="112" t="str">
        <f>'инновации+добровольчество0,41'!A404</f>
        <v>радиатор медный</v>
      </c>
      <c r="D197" s="67" t="str">
        <f>'инновации+добровольчество0,41'!B404</f>
        <v>шт</v>
      </c>
      <c r="E197" s="170">
        <f>'инновации+добровольчество0,41'!D404</f>
        <v>0.41</v>
      </c>
    </row>
    <row r="198" spans="1:5" ht="15" customHeight="1" x14ac:dyDescent="0.25">
      <c r="A198" s="544"/>
      <c r="B198" s="543"/>
      <c r="C198" s="112" t="str">
        <f>'инновации+добровольчество0,41'!A405</f>
        <v>гидротолкатель клапана</v>
      </c>
      <c r="D198" s="67" t="str">
        <f>'инновации+добровольчество0,41'!B405</f>
        <v>шт</v>
      </c>
      <c r="E198" s="170">
        <f>'инновации+добровольчество0,41'!D405</f>
        <v>0.82</v>
      </c>
    </row>
    <row r="199" spans="1:5" ht="15" customHeight="1" x14ac:dyDescent="0.25">
      <c r="A199" s="544"/>
      <c r="B199" s="543"/>
      <c r="C199" s="112" t="str">
        <f>'инновации+добровольчество0,41'!A406</f>
        <v>маслосъемные колпачки (16 шт)</v>
      </c>
      <c r="D199" s="67" t="str">
        <f>'инновации+добровольчество0,41'!B406</f>
        <v>шт</v>
      </c>
      <c r="E199" s="170">
        <f>'инновации+добровольчество0,41'!D406</f>
        <v>0.41</v>
      </c>
    </row>
    <row r="200" spans="1:5" ht="15" customHeight="1" x14ac:dyDescent="0.25">
      <c r="A200" s="544"/>
      <c r="B200" s="543"/>
      <c r="C200" s="112" t="str">
        <f>'инновации+добровольчество0,41'!A407</f>
        <v>к-т ГРМ (полный)</v>
      </c>
      <c r="D200" s="67" t="str">
        <f>'инновации+добровольчество0,41'!B407</f>
        <v>шт</v>
      </c>
      <c r="E200" s="170">
        <f>'инновации+добровольчество0,41'!D407</f>
        <v>0.41</v>
      </c>
    </row>
    <row r="201" spans="1:5" ht="15" customHeight="1" x14ac:dyDescent="0.25">
      <c r="A201" s="544"/>
      <c r="B201" s="543"/>
      <c r="C201" s="112" t="str">
        <f>'инновации+добровольчество0,41'!A408</f>
        <v>фланец упорный распредвала</v>
      </c>
      <c r="D201" s="67" t="str">
        <f>'инновации+добровольчество0,41'!B408</f>
        <v>шт</v>
      </c>
      <c r="E201" s="170">
        <f>'инновации+добровольчество0,41'!D408</f>
        <v>0.82</v>
      </c>
    </row>
    <row r="202" spans="1:5" ht="15" customHeight="1" x14ac:dyDescent="0.25">
      <c r="A202" s="544"/>
      <c r="B202" s="543"/>
      <c r="C202" s="112" t="str">
        <f>'инновации+добровольчество0,41'!A409</f>
        <v>гидронатяжитель цепи</v>
      </c>
      <c r="D202" s="67" t="str">
        <f>'инновации+добровольчество0,41'!B409</f>
        <v>шт</v>
      </c>
      <c r="E202" s="170">
        <f>'инновации+добровольчество0,41'!D409</f>
        <v>0.82</v>
      </c>
    </row>
    <row r="203" spans="1:5" ht="15" customHeight="1" x14ac:dyDescent="0.25">
      <c r="A203" s="544"/>
      <c r="B203" s="543"/>
      <c r="C203" s="112" t="str">
        <f>'инновации+добровольчество0,41'!A410</f>
        <v>прокладка головки блока</v>
      </c>
      <c r="D203" s="67" t="str">
        <f>'инновации+добровольчество0,41'!B410</f>
        <v>шт</v>
      </c>
      <c r="E203" s="170">
        <f>'инновации+добровольчество0,41'!D410</f>
        <v>0.41</v>
      </c>
    </row>
    <row r="204" spans="1:5" ht="15" customHeight="1" x14ac:dyDescent="0.25">
      <c r="A204" s="544"/>
      <c r="B204" s="543"/>
      <c r="C204" s="112" t="str">
        <f>'инновации+добровольчество0,41'!A411</f>
        <v>к-т прокладок на дв.4091</v>
      </c>
      <c r="D204" s="67" t="str">
        <f>'инновации+добровольчество0,41'!B411</f>
        <v>шт</v>
      </c>
      <c r="E204" s="170">
        <f>'инновации+добровольчество0,41'!D411</f>
        <v>0.41</v>
      </c>
    </row>
    <row r="205" spans="1:5" ht="15" customHeight="1" x14ac:dyDescent="0.25">
      <c r="A205" s="544"/>
      <c r="B205" s="543"/>
      <c r="C205" s="112" t="str">
        <f>'инновации+добровольчество0,41'!A412</f>
        <v>dextron iv</v>
      </c>
      <c r="D205" s="67" t="str">
        <f>'инновации+добровольчество0,41'!B412</f>
        <v>шт</v>
      </c>
      <c r="E205" s="170">
        <f>'инновации+добровольчество0,41'!D412</f>
        <v>0.41</v>
      </c>
    </row>
    <row r="206" spans="1:5" ht="15" customHeight="1" x14ac:dyDescent="0.25">
      <c r="A206" s="544"/>
      <c r="B206" s="543"/>
      <c r="C206" s="112" t="str">
        <f>'инновации+добровольчество0,41'!A413</f>
        <v>смазка (шрус)</v>
      </c>
      <c r="D206" s="67" t="str">
        <f>'инновации+добровольчество0,41'!B413</f>
        <v>шт</v>
      </c>
      <c r="E206" s="170">
        <f>'инновации+добровольчество0,41'!D413</f>
        <v>2.0499999999999998</v>
      </c>
    </row>
    <row r="207" spans="1:5" ht="15" customHeight="1" x14ac:dyDescent="0.25">
      <c r="A207" s="544"/>
      <c r="B207" s="543"/>
      <c r="C207" s="112" t="str">
        <f>'инновации+добровольчество0,41'!A414</f>
        <v>смазка литол-24</v>
      </c>
      <c r="D207" s="67" t="str">
        <f>'инновации+добровольчество0,41'!B414</f>
        <v>шт</v>
      </c>
      <c r="E207" s="170">
        <f>'инновации+добровольчество0,41'!D414</f>
        <v>1.64</v>
      </c>
    </row>
    <row r="208" spans="1:5" ht="15" customHeight="1" x14ac:dyDescent="0.25">
      <c r="A208" s="544"/>
      <c r="B208" s="543"/>
      <c r="C208" s="112" t="str">
        <f>'инновации+добровольчество0,41'!A415</f>
        <v>тормозная жидкость (0,910 кг)</v>
      </c>
      <c r="D208" s="67" t="str">
        <f>'инновации+добровольчество0,41'!B415</f>
        <v>шт</v>
      </c>
      <c r="E208" s="170">
        <f>'инновации+добровольчество0,41'!D415</f>
        <v>0.82</v>
      </c>
    </row>
    <row r="209" spans="1:5" ht="15" customHeight="1" x14ac:dyDescent="0.25">
      <c r="A209" s="544"/>
      <c r="B209" s="543"/>
      <c r="C209" s="112" t="str">
        <f>'инновации+добровольчество0,41'!A416</f>
        <v>шайба, гайка,сверло</v>
      </c>
      <c r="D209" s="67" t="str">
        <f>'инновации+добровольчество0,41'!B416</f>
        <v>шт</v>
      </c>
      <c r="E209" s="170">
        <f>'инновации+добровольчество0,41'!D416</f>
        <v>0.41</v>
      </c>
    </row>
    <row r="210" spans="1:5" ht="15" customHeight="1" x14ac:dyDescent="0.25">
      <c r="A210" s="544"/>
      <c r="B210" s="543"/>
      <c r="C210" s="112" t="str">
        <f>'инновации+добровольчество0,41'!A417</f>
        <v>саморез</v>
      </c>
      <c r="D210" s="67" t="str">
        <f>'инновации+добровольчество0,41'!B417</f>
        <v>шт</v>
      </c>
      <c r="E210" s="170">
        <f>'инновации+добровольчество0,41'!D417</f>
        <v>12.299999999999999</v>
      </c>
    </row>
    <row r="211" spans="1:5" ht="15" customHeight="1" x14ac:dyDescent="0.25">
      <c r="A211" s="544"/>
      <c r="B211" s="543"/>
      <c r="C211" s="112" t="str">
        <f>'инновации+добровольчество0,41'!A418</f>
        <v>брелок</v>
      </c>
      <c r="D211" s="67" t="str">
        <f>'инновации+добровольчество0,41'!B418</f>
        <v>шт</v>
      </c>
      <c r="E211" s="170">
        <f>'инновации+добровольчество0,41'!D418</f>
        <v>8.1999999999999993</v>
      </c>
    </row>
    <row r="212" spans="1:5" ht="15" customHeight="1" x14ac:dyDescent="0.25">
      <c r="A212" s="544"/>
      <c r="B212" s="543"/>
      <c r="C212" s="112" t="str">
        <f>'инновации+добровольчество0,41'!A419</f>
        <v>Тарелка опорная ЗУБР "МАСТЕР" пластиковая для УШМ под круг на липучке, d 125 мм, М14</v>
      </c>
      <c r="D212" s="67" t="str">
        <f>'инновации+добровольчество0,41'!B419</f>
        <v>шт</v>
      </c>
      <c r="E212" s="170">
        <f>'инновации+добровольчество0,41'!D419</f>
        <v>0.82</v>
      </c>
    </row>
    <row r="213" spans="1:5" ht="15" customHeight="1" x14ac:dyDescent="0.25">
      <c r="A213" s="544"/>
      <c r="B213" s="543"/>
      <c r="C213" s="112" t="str">
        <f>'инновации+добровольчество0,41'!A420</f>
        <v>Круг шлифовальный ЗУБР "МАСТЕР"  универс., из абразивной бумаги на велкро основе, б/отверстий, Р320</v>
      </c>
      <c r="D213" s="67" t="str">
        <f>'инновации+добровольчество0,41'!B420</f>
        <v>шт</v>
      </c>
      <c r="E213" s="170">
        <f>'инновации+добровольчество0,41'!D420</f>
        <v>0.82</v>
      </c>
    </row>
    <row r="214" spans="1:5" ht="15" customHeight="1" x14ac:dyDescent="0.25">
      <c r="A214" s="544"/>
      <c r="B214" s="543"/>
      <c r="C214" s="112" t="str">
        <f>'инновации+добровольчество0,41'!A421</f>
        <v>Круг шлифовальный ЗУБР "МАСТЕР"  универс., из абразивной бумаги на велкро основе, б/отверстий, Р180</v>
      </c>
      <c r="D214" s="67" t="str">
        <f>'инновации+добровольчество0,41'!B421</f>
        <v>шт</v>
      </c>
      <c r="E214" s="170">
        <f>'инновации+добровольчество0,41'!D421</f>
        <v>0.82</v>
      </c>
    </row>
    <row r="215" spans="1:5" ht="15" customHeight="1" x14ac:dyDescent="0.25">
      <c r="A215" s="544"/>
      <c r="B215" s="543"/>
      <c r="C215" s="112" t="str">
        <f>'инновации+добровольчество0,41'!A422</f>
        <v>Аптечка нового образца "Мицар" 17,5x15x7см ПЛАСТИК</v>
      </c>
      <c r="D215" s="67" t="str">
        <f>'инновации+добровольчество0,41'!B422</f>
        <v>шт</v>
      </c>
      <c r="E215" s="170">
        <f>'инновации+добровольчество0,41'!D422</f>
        <v>0.82</v>
      </c>
    </row>
    <row r="216" spans="1:5" ht="15" customHeight="1" x14ac:dyDescent="0.25">
      <c r="A216" s="544"/>
      <c r="B216" s="543"/>
      <c r="C216" s="112" t="str">
        <f>'инновации+добровольчество0,41'!A423</f>
        <v>Саморез по гипсокартону, дереву, ДСП черный фосфат 3,5х45 (2000шт.)</v>
      </c>
      <c r="D216" s="67" t="str">
        <f>'инновации+добровольчество0,41'!B423</f>
        <v>шт</v>
      </c>
      <c r="E216" s="170">
        <f>'инновации+добровольчество0,41'!D423</f>
        <v>369</v>
      </c>
    </row>
    <row r="217" spans="1:5" ht="15" customHeight="1" x14ac:dyDescent="0.25">
      <c r="A217" s="544"/>
      <c r="B217" s="543"/>
      <c r="C217" s="112" t="str">
        <f>'инновации+добровольчество0,41'!A424</f>
        <v>Саморез по гипсокартону, дереву, ДСП черный фосфат 4,8х102 (400шт.)</v>
      </c>
      <c r="D217" s="67" t="str">
        <f>'инновации+добровольчество0,41'!B424</f>
        <v>шт</v>
      </c>
      <c r="E217" s="170">
        <f>'инновации+добровольчество0,41'!D424</f>
        <v>94.3</v>
      </c>
    </row>
    <row r="218" spans="1:5" ht="15" customHeight="1" x14ac:dyDescent="0.25">
      <c r="A218" s="544"/>
      <c r="B218" s="543"/>
      <c r="C218" s="112" t="str">
        <f>'инновации+добровольчество0,41'!A425</f>
        <v>Уголок крепежный универсальный цинк 100*100*60*2,0мм /50/</v>
      </c>
      <c r="D218" s="67" t="str">
        <f>'инновации+добровольчество0,41'!B425</f>
        <v>шт</v>
      </c>
      <c r="E218" s="170">
        <f>'инновации+добровольчество0,41'!D425</f>
        <v>3.28</v>
      </c>
    </row>
    <row r="219" spans="1:5" ht="15" customHeight="1" x14ac:dyDescent="0.25">
      <c r="A219" s="544"/>
      <c r="B219" s="543"/>
      <c r="C219" s="112" t="str">
        <f>'инновации+добровольчество0,41'!A426</f>
        <v>Уголок крепежный универсальный цинк 80*80*40*2,0мм /100/</v>
      </c>
      <c r="D219" s="67" t="str">
        <f>'инновации+добровольчество0,41'!B426</f>
        <v>шт</v>
      </c>
      <c r="E219" s="170">
        <f>'инновации+добровольчество0,41'!D426</f>
        <v>5.7399999999999993</v>
      </c>
    </row>
    <row r="220" spans="1:5" ht="15" customHeight="1" x14ac:dyDescent="0.25">
      <c r="A220" s="544"/>
      <c r="B220" s="543"/>
      <c r="C220" s="112" t="str">
        <f>'инновации+добровольчество0,41'!A427</f>
        <v>Уголок крепежный универсальный цинк 50*50*60*2,0мм /100/</v>
      </c>
      <c r="D220" s="67" t="str">
        <f>'инновации+добровольчество0,41'!B427</f>
        <v>шт</v>
      </c>
      <c r="E220" s="170">
        <f>'инновации+добровольчество0,41'!D427</f>
        <v>8.1999999999999993</v>
      </c>
    </row>
    <row r="221" spans="1:5" ht="15" customHeight="1" x14ac:dyDescent="0.25">
      <c r="A221" s="544"/>
      <c r="B221" s="543"/>
      <c r="C221" s="112" t="str">
        <f>'инновации+добровольчество0,41'!A428</f>
        <v>Пластина крепежная универсальная цинк 200*60*2,0мм /50/</v>
      </c>
      <c r="D221" s="67" t="str">
        <f>'инновации+добровольчество0,41'!B428</f>
        <v>шт</v>
      </c>
      <c r="E221" s="170">
        <f>'инновации+добровольчество0,41'!D428</f>
        <v>4.0999999999999996</v>
      </c>
    </row>
    <row r="222" spans="1:5" ht="15" customHeight="1" x14ac:dyDescent="0.25">
      <c r="A222" s="544"/>
      <c r="B222" s="543"/>
      <c r="C222" s="112" t="str">
        <f>'инновации+добровольчество0,41'!A429</f>
        <v>Сверло по металлу 6,0мм ТОМСК 10902В</v>
      </c>
      <c r="D222" s="67" t="str">
        <f>'инновации+добровольчество0,41'!B429</f>
        <v>шт</v>
      </c>
      <c r="E222" s="170">
        <f>'инновации+добровольчество0,41'!D429</f>
        <v>0.82</v>
      </c>
    </row>
    <row r="223" spans="1:5" x14ac:dyDescent="0.25">
      <c r="A223" s="544"/>
      <c r="B223" s="543"/>
      <c r="C223" s="112" t="str">
        <f>'инновации+добровольчество0,41'!A430</f>
        <v>Биты  ХК RSG 10 шт, РН2 х 70 мм, сталь S2 /120/</v>
      </c>
      <c r="D223" s="67" t="str">
        <f>'инновации+добровольчество0,41'!B430</f>
        <v>шт</v>
      </c>
      <c r="E223" s="170">
        <f>'инновации+добровольчество0,41'!D430</f>
        <v>1.64</v>
      </c>
    </row>
    <row r="224" spans="1:5" x14ac:dyDescent="0.25">
      <c r="A224" s="544"/>
      <c r="B224" s="543"/>
      <c r="C224" s="112" t="str">
        <f>'инновации+добровольчество0,41'!A431</f>
        <v>Хомут  нейлоновый 2,5х200мм 100шт белый /10/100/</v>
      </c>
      <c r="D224" s="67" t="str">
        <f>'инновации+добровольчество0,41'!B431</f>
        <v>шт</v>
      </c>
      <c r="E224" s="170">
        <f>'инновации+добровольчество0,41'!D431</f>
        <v>0.41</v>
      </c>
    </row>
    <row r="225" spans="1:5" x14ac:dyDescent="0.25">
      <c r="A225" s="544"/>
      <c r="B225" s="543"/>
      <c r="C225" s="112" t="str">
        <f>'инновации+добровольчество0,41'!A432</f>
        <v>Хомут  нейлоновый 3,6х300мм 100шт белый /10/150/</v>
      </c>
      <c r="D225" s="67" t="str">
        <f>'инновации+добровольчество0,41'!B432</f>
        <v>шт</v>
      </c>
      <c r="E225" s="170">
        <f>'инновации+добровольчество0,41'!D432</f>
        <v>0.41</v>
      </c>
    </row>
    <row r="226" spans="1:5" x14ac:dyDescent="0.25">
      <c r="A226" s="544"/>
      <c r="B226" s="543"/>
      <c r="C226" s="112" t="str">
        <f>'инновации+добровольчество0,41'!A433</f>
        <v>Набор АНИ с бок подв 1/2 пл кнопка белая  WС8010 /20/</v>
      </c>
      <c r="D226" s="67" t="str">
        <f>'инновации+добровольчество0,41'!B433</f>
        <v>шт</v>
      </c>
      <c r="E226" s="170">
        <f>'инновации+добровольчество0,41'!D433</f>
        <v>0.41</v>
      </c>
    </row>
    <row r="227" spans="1:5" x14ac:dyDescent="0.25">
      <c r="A227" s="544"/>
      <c r="B227" s="543"/>
      <c r="C227" s="112" t="str">
        <f>'инновации+добровольчество0,41'!A434</f>
        <v>Набор с бок подв АНИ шток пластик эконом  WС4050 /20/</v>
      </c>
      <c r="D227" s="67" t="str">
        <f>'инновации+добровольчество0,41'!B434</f>
        <v>шт</v>
      </c>
      <c r="E227" s="170">
        <f>'инновации+добровольчество0,41'!D434</f>
        <v>0.41</v>
      </c>
    </row>
    <row r="228" spans="1:5" x14ac:dyDescent="0.25">
      <c r="A228" s="544"/>
      <c r="B228" s="543"/>
      <c r="C228" s="112" t="str">
        <f>'инновации+добровольчество0,41'!A435</f>
        <v>Тройник PPR соединительный 32 Дигор /15/60/</v>
      </c>
      <c r="D228" s="67" t="str">
        <f>'инновации+добровольчество0,41'!B435</f>
        <v>шт</v>
      </c>
      <c r="E228" s="170">
        <f>'инновации+добровольчество0,41'!D435</f>
        <v>3.28</v>
      </c>
    </row>
    <row r="229" spans="1:5" x14ac:dyDescent="0.25">
      <c r="A229" s="544"/>
      <c r="B229" s="543"/>
      <c r="C229" s="112" t="str">
        <f>'инновации+добровольчество0,41'!A436</f>
        <v>Труба PPR Ду 25  PN 20, SDR 7,4 (4 м) армир. стекловолокном г.Красноярск  /упак. 25шт./</v>
      </c>
      <c r="D229" s="67" t="str">
        <f>'инновации+добровольчество0,41'!B436</f>
        <v>шт</v>
      </c>
      <c r="E229" s="170">
        <f>'инновации+добровольчество0,41'!D436</f>
        <v>1.23</v>
      </c>
    </row>
    <row r="230" spans="1:5" x14ac:dyDescent="0.25">
      <c r="A230" s="544"/>
      <c r="B230" s="543"/>
      <c r="C230" s="112" t="str">
        <f>'инновации+добровольчество0,41'!A437</f>
        <v>Труба РР PN25 Д-32*5,4 (1") L-4,0м (стекловолокно) (упак. 15 шт.)</v>
      </c>
      <c r="D230" s="67" t="str">
        <f>'инновации+добровольчество0,41'!B437</f>
        <v>шт</v>
      </c>
      <c r="E230" s="170">
        <f>'инновации+добровольчество0,41'!D437</f>
        <v>0.41</v>
      </c>
    </row>
    <row r="231" spans="1:5" x14ac:dyDescent="0.25">
      <c r="A231" s="544"/>
      <c r="B231" s="543"/>
      <c r="C231" s="112" t="str">
        <f>'инновации+добровольчество0,41'!A438</f>
        <v>Изоляция для труб холодной воды 42/9мм, 2м /10/</v>
      </c>
      <c r="D231" s="67" t="str">
        <f>'инновации+добровольчество0,41'!B438</f>
        <v>шт</v>
      </c>
      <c r="E231" s="170">
        <f>'инновации+добровольчество0,41'!D438</f>
        <v>2.0499999999999998</v>
      </c>
    </row>
    <row r="232" spans="1:5" x14ac:dyDescent="0.25">
      <c r="A232" s="544"/>
      <c r="B232" s="543"/>
      <c r="C232" s="112" t="str">
        <f>'инновации+добровольчество0,41'!A439</f>
        <v>Изодом НПЭ Л 10мм (1,0х25 п.м)</v>
      </c>
      <c r="D232" s="67" t="str">
        <f>'инновации+добровольчество0,41'!B439</f>
        <v>шт</v>
      </c>
      <c r="E232" s="170">
        <f>'инновации+добровольчество0,41'!D439</f>
        <v>0.82</v>
      </c>
    </row>
    <row r="233" spans="1:5" x14ac:dyDescent="0.25">
      <c r="A233" s="544"/>
      <c r="B233" s="543"/>
      <c r="C233" s="112" t="str">
        <f>'инновации+добровольчество0,41'!A440</f>
        <v>Лента серпянка сетка строительная самокл. Стелс 45мм.*45м. /63/</v>
      </c>
      <c r="D233" s="67" t="str">
        <f>'инновации+добровольчество0,41'!B440</f>
        <v>шт</v>
      </c>
      <c r="E233" s="170">
        <f>'инновации+добровольчество0,41'!D440</f>
        <v>2.0499999999999998</v>
      </c>
    </row>
    <row r="234" spans="1:5" x14ac:dyDescent="0.25">
      <c r="A234" s="544"/>
      <c r="B234" s="543"/>
      <c r="C234" s="112" t="str">
        <f>'инновации+добровольчество0,41'!A441</f>
        <v>Клей Cosmofen СА-12  20гр /флакон прозр.  /20/</v>
      </c>
      <c r="D234" s="67" t="str">
        <f>'инновации+добровольчество0,41'!B441</f>
        <v>шт</v>
      </c>
      <c r="E234" s="170">
        <f>'инновации+добровольчество0,41'!D441</f>
        <v>0.41</v>
      </c>
    </row>
    <row r="235" spans="1:5" x14ac:dyDescent="0.25">
      <c r="A235" s="544"/>
      <c r="B235" s="543"/>
      <c r="C235" s="112" t="str">
        <f>'инновации+добровольчество0,41'!A442</f>
        <v>Сверло ЗУБР "МАСТЕР" по бетону ударное, 6х150мм</v>
      </c>
      <c r="D235" s="67" t="str">
        <f>'инновации+добровольчество0,41'!B442</f>
        <v>шт</v>
      </c>
      <c r="E235" s="170">
        <f>'инновации+добровольчество0,41'!D442</f>
        <v>0.41</v>
      </c>
    </row>
    <row r="236" spans="1:5" x14ac:dyDescent="0.25">
      <c r="A236" s="544"/>
      <c r="B236" s="543"/>
      <c r="C236" s="112" t="str">
        <f>'инновации+добровольчество0,41'!A443</f>
        <v>Сверло ЗУБР "СУПЕР-6" по бетону ударное, шестигранный хвостовик, 4x75мм</v>
      </c>
      <c r="D236" s="67" t="str">
        <f>'инновации+добровольчество0,41'!B443</f>
        <v>шт</v>
      </c>
      <c r="E236" s="170">
        <f>'инновации+добровольчество0,41'!D443</f>
        <v>0.41</v>
      </c>
    </row>
    <row r="237" spans="1:5" x14ac:dyDescent="0.25">
      <c r="A237" s="544"/>
      <c r="B237" s="543"/>
      <c r="C237" s="112" t="str">
        <f>'инновации+добровольчество0,41'!A444</f>
        <v>Профиль потолочный А-3 2,0м в сборе (М) (10)</v>
      </c>
      <c r="D237" s="67" t="str">
        <f>'инновации+добровольчество0,41'!B444</f>
        <v>шт</v>
      </c>
      <c r="E237" s="170">
        <f>'инновации+добровольчество0,41'!D444</f>
        <v>0.41</v>
      </c>
    </row>
    <row r="238" spans="1:5" x14ac:dyDescent="0.25">
      <c r="A238" s="544"/>
      <c r="B238" s="543"/>
      <c r="C238" s="112" t="str">
        <f>'инновации+добровольчество0,41'!A445</f>
        <v>Клеёнка силиконовая Dekorelle 1,20*20м прозрачная (толщина 0,8мм)</v>
      </c>
      <c r="D238" s="67" t="str">
        <f>'инновации+добровольчество0,41'!B445</f>
        <v>шт</v>
      </c>
      <c r="E238" s="170">
        <f>'инновации+добровольчество0,41'!D445</f>
        <v>0.49199999999999994</v>
      </c>
    </row>
    <row r="239" spans="1:5" x14ac:dyDescent="0.25">
      <c r="A239" s="544"/>
      <c r="B239" s="543"/>
      <c r="C239" s="112" t="str">
        <f>'инновации+добровольчество0,41'!A446</f>
        <v>антифриз УАЗ</v>
      </c>
      <c r="D239" s="67" t="str">
        <f>'инновации+добровольчество0,41'!B446</f>
        <v>шт</v>
      </c>
      <c r="E239" s="170">
        <f>'инновации+добровольчество0,41'!D446</f>
        <v>0.82</v>
      </c>
    </row>
    <row r="240" spans="1:5" x14ac:dyDescent="0.25">
      <c r="A240" s="544"/>
      <c r="B240" s="543"/>
      <c r="C240" s="112" t="str">
        <f>'инновации+добровольчество0,41'!A447</f>
        <v>ГСМ УАЗ (Масло двигатель)</v>
      </c>
      <c r="D240" s="67" t="str">
        <f>'инновации+добровольчество0,41'!B447</f>
        <v>шт</v>
      </c>
      <c r="E240" s="170">
        <f>'инновации+добровольчество0,41'!D447</f>
        <v>3.28</v>
      </c>
    </row>
    <row r="241" spans="1:5" x14ac:dyDescent="0.25">
      <c r="A241" s="544"/>
      <c r="B241" s="543"/>
      <c r="C241" s="112" t="str">
        <f>'инновации+добровольчество0,41'!A448</f>
        <v>ГСМ Бензин</v>
      </c>
      <c r="D241" s="67" t="str">
        <f>'инновации+добровольчество0,41'!B448</f>
        <v>шт</v>
      </c>
      <c r="E241" s="170">
        <f>'инновации+добровольчество0,41'!D448</f>
        <v>1230</v>
      </c>
    </row>
    <row r="242" spans="1:5" x14ac:dyDescent="0.25">
      <c r="A242" s="544"/>
      <c r="B242" s="543"/>
      <c r="C242" s="112" t="str">
        <f>'инновации+добровольчество0,41'!A449</f>
        <v>перчатки нитриловые L</v>
      </c>
      <c r="D242" s="67" t="str">
        <f>'инновации+добровольчество0,41'!B449</f>
        <v>шт</v>
      </c>
      <c r="E242" s="170">
        <f>'инновации+добровольчество0,41'!D449</f>
        <v>328</v>
      </c>
    </row>
    <row r="243" spans="1:5" x14ac:dyDescent="0.25">
      <c r="A243" s="544"/>
      <c r="B243" s="543"/>
      <c r="C243" s="112" t="str">
        <f>'инновации+добровольчество0,41'!A450</f>
        <v>перчатки нитриловые М</v>
      </c>
      <c r="D243" s="67" t="str">
        <f>'инновации+добровольчество0,41'!B450</f>
        <v>шт</v>
      </c>
      <c r="E243" s="170">
        <f>'инновации+добровольчество0,41'!D450</f>
        <v>328</v>
      </c>
    </row>
    <row r="244" spans="1:5" x14ac:dyDescent="0.25">
      <c r="A244" s="544"/>
      <c r="B244" s="543"/>
      <c r="C244" s="112" t="str">
        <f>'инновации+добровольчество0,41'!A451</f>
        <v>маска мед одноразовая</v>
      </c>
      <c r="D244" s="67" t="str">
        <f>'инновации+добровольчество0,41'!B451</f>
        <v>шт</v>
      </c>
      <c r="E244" s="170">
        <f>'инновации+добровольчество0,41'!D451</f>
        <v>410</v>
      </c>
    </row>
    <row r="245" spans="1:5" x14ac:dyDescent="0.25">
      <c r="A245" s="544"/>
      <c r="B245" s="543"/>
      <c r="C245" s="112" t="str">
        <f>'инновации+добровольчество0,41'!A452</f>
        <v>скреппер волокуша для снега</v>
      </c>
      <c r="D245" s="67" t="str">
        <f>'инновации+добровольчество0,41'!B452</f>
        <v>шт</v>
      </c>
      <c r="E245" s="170">
        <f>'инновации+добровольчество0,41'!D452</f>
        <v>0.41</v>
      </c>
    </row>
    <row r="246" spans="1:5" x14ac:dyDescent="0.25">
      <c r="A246" s="544"/>
      <c r="B246" s="543"/>
      <c r="C246" s="112" t="str">
        <f>'инновации+добровольчество0,41'!A453</f>
        <v>мультиДез 1л</v>
      </c>
      <c r="D246" s="67" t="str">
        <f>'инновации+добровольчество0,41'!B453</f>
        <v>шт</v>
      </c>
      <c r="E246" s="170">
        <f>'инновации+добровольчество0,41'!D453</f>
        <v>4.0999999999999996</v>
      </c>
    </row>
    <row r="247" spans="1:5" x14ac:dyDescent="0.25">
      <c r="A247" s="544"/>
      <c r="B247" s="543"/>
      <c r="C247" s="112" t="str">
        <f>'инновации+добровольчество0,41'!A454</f>
        <v>Мульти ДезТефлекс 0,5</v>
      </c>
      <c r="D247" s="67" t="str">
        <f>'инновации+добровольчество0,41'!B454</f>
        <v>шт</v>
      </c>
      <c r="E247" s="170">
        <f>'инновации+добровольчество0,41'!D454</f>
        <v>1.64</v>
      </c>
    </row>
    <row r="248" spans="1:5" x14ac:dyDescent="0.25">
      <c r="C248" s="112"/>
    </row>
    <row r="249" spans="1:5" x14ac:dyDescent="0.25">
      <c r="C249" s="112"/>
    </row>
    <row r="250" spans="1:5" x14ac:dyDescent="0.25">
      <c r="C250" s="112"/>
    </row>
    <row r="251" spans="1:5" x14ac:dyDescent="0.25">
      <c r="C251" s="112"/>
    </row>
    <row r="252" spans="1:5" x14ac:dyDescent="0.25">
      <c r="C252" s="112"/>
    </row>
    <row r="253" spans="1:5" x14ac:dyDescent="0.25">
      <c r="C253" s="112"/>
    </row>
    <row r="254" spans="1:5" x14ac:dyDescent="0.25">
      <c r="C254" s="112"/>
    </row>
    <row r="255" spans="1:5" x14ac:dyDescent="0.25">
      <c r="C255" s="112"/>
    </row>
    <row r="256" spans="1:5" x14ac:dyDescent="0.25">
      <c r="C256" s="112"/>
    </row>
    <row r="257" spans="3:3" x14ac:dyDescent="0.25">
      <c r="C257" s="112"/>
    </row>
    <row r="258" spans="3:3" x14ac:dyDescent="0.25">
      <c r="C258" s="112"/>
    </row>
    <row r="259" spans="3:3" x14ac:dyDescent="0.25">
      <c r="C259" s="112"/>
    </row>
    <row r="260" spans="3:3" x14ac:dyDescent="0.25">
      <c r="C260" s="112"/>
    </row>
    <row r="261" spans="3:3" x14ac:dyDescent="0.25">
      <c r="C261" s="112"/>
    </row>
    <row r="262" spans="3:3" x14ac:dyDescent="0.25">
      <c r="C262" s="112"/>
    </row>
    <row r="263" spans="3:3" x14ac:dyDescent="0.25">
      <c r="C263" s="112"/>
    </row>
    <row r="264" spans="3:3" x14ac:dyDescent="0.25">
      <c r="C264" s="112"/>
    </row>
    <row r="265" spans="3:3" x14ac:dyDescent="0.25">
      <c r="C265" s="112"/>
    </row>
    <row r="266" spans="3:3" x14ac:dyDescent="0.25">
      <c r="C266" s="112"/>
    </row>
    <row r="267" spans="3:3" x14ac:dyDescent="0.25">
      <c r="C267" s="112"/>
    </row>
    <row r="268" spans="3:3" x14ac:dyDescent="0.25">
      <c r="C268" s="112"/>
    </row>
    <row r="269" spans="3:3" x14ac:dyDescent="0.25">
      <c r="C269" s="112"/>
    </row>
    <row r="270" spans="3:3" x14ac:dyDescent="0.25">
      <c r="C270" s="112"/>
    </row>
    <row r="271" spans="3:3" x14ac:dyDescent="0.25">
      <c r="C271" s="112"/>
    </row>
    <row r="272" spans="3:3" x14ac:dyDescent="0.25">
      <c r="C272" s="112"/>
    </row>
    <row r="273" spans="3:3" x14ac:dyDescent="0.25">
      <c r="C273" s="112"/>
    </row>
    <row r="274" spans="3:3" x14ac:dyDescent="0.25">
      <c r="C274" s="112"/>
    </row>
    <row r="275" spans="3:3" x14ac:dyDescent="0.25">
      <c r="C275" s="112"/>
    </row>
    <row r="276" spans="3:3" x14ac:dyDescent="0.25">
      <c r="C276" s="112"/>
    </row>
    <row r="277" spans="3:3" x14ac:dyDescent="0.25">
      <c r="C277" s="112"/>
    </row>
    <row r="278" spans="3:3" x14ac:dyDescent="0.25">
      <c r="C278" s="112"/>
    </row>
    <row r="279" spans="3:3" x14ac:dyDescent="0.25">
      <c r="C279" s="112"/>
    </row>
    <row r="280" spans="3:3" x14ac:dyDescent="0.25">
      <c r="C280" s="112"/>
    </row>
    <row r="281" spans="3:3" x14ac:dyDescent="0.25">
      <c r="C281" s="112"/>
    </row>
    <row r="282" spans="3:3" x14ac:dyDescent="0.25">
      <c r="C282" s="112"/>
    </row>
    <row r="283" spans="3:3" x14ac:dyDescent="0.25">
      <c r="C283" s="112"/>
    </row>
    <row r="284" spans="3:3" x14ac:dyDescent="0.25">
      <c r="C284" s="112"/>
    </row>
    <row r="285" spans="3:3" x14ac:dyDescent="0.25">
      <c r="C285" s="112"/>
    </row>
    <row r="286" spans="3:3" x14ac:dyDescent="0.25">
      <c r="C286" s="112"/>
    </row>
    <row r="287" spans="3:3" x14ac:dyDescent="0.25">
      <c r="C287" s="112"/>
    </row>
  </sheetData>
  <mergeCells count="18">
    <mergeCell ref="C81:E81"/>
    <mergeCell ref="C87:E87"/>
    <mergeCell ref="B7:B247"/>
    <mergeCell ref="A7:A247"/>
    <mergeCell ref="C15:E15"/>
    <mergeCell ref="C33:E33"/>
    <mergeCell ref="C34:E34"/>
    <mergeCell ref="C41:E41"/>
    <mergeCell ref="C68:E68"/>
    <mergeCell ref="C76:E76"/>
    <mergeCell ref="C83:E83"/>
    <mergeCell ref="C90:E90"/>
    <mergeCell ref="C11:E11"/>
    <mergeCell ref="D1:E1"/>
    <mergeCell ref="A3:E3"/>
    <mergeCell ref="A4:E4"/>
    <mergeCell ref="C7:E7"/>
    <mergeCell ref="C8:E8"/>
  </mergeCells>
  <pageMargins left="0.70866141732283472" right="0.70866141732283472" top="0.35433070866141736" bottom="0.74803149606299213" header="0.15748031496062992" footer="0.31496062992125984"/>
  <pageSetup paperSize="9" scale="36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60"/>
  <sheetViews>
    <sheetView view="pageBreakPreview" topLeftCell="A431" zoomScale="85" zoomScaleNormal="70" zoomScaleSheetLayoutView="85" workbookViewId="0">
      <selection sqref="A1:I455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06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606"/>
      <c r="C1" s="606"/>
      <c r="D1" s="606"/>
      <c r="E1" s="606"/>
      <c r="F1" s="606"/>
      <c r="G1" s="606"/>
      <c r="H1" s="606"/>
    </row>
    <row r="2" spans="1:9" x14ac:dyDescent="0.25">
      <c r="A2" s="280" t="str">
        <f>'таланты+инициативы0,28'!A2</f>
        <v>на 30.11.2020 год</v>
      </c>
      <c r="B2" s="280"/>
      <c r="C2" s="280"/>
      <c r="D2" s="280"/>
    </row>
    <row r="3" spans="1:9" ht="48" customHeight="1" x14ac:dyDescent="0.25">
      <c r="A3" s="40" t="s">
        <v>217</v>
      </c>
      <c r="B3" s="606" t="s">
        <v>51</v>
      </c>
      <c r="C3" s="606"/>
      <c r="D3" s="606"/>
      <c r="E3" s="606"/>
      <c r="F3" s="606"/>
      <c r="G3" s="606"/>
      <c r="H3" s="606"/>
      <c r="I3" s="172"/>
    </row>
    <row r="4" spans="1:9" x14ac:dyDescent="0.25">
      <c r="A4" s="607" t="s">
        <v>233</v>
      </c>
      <c r="B4" s="607"/>
      <c r="C4" s="607"/>
      <c r="D4" s="607"/>
      <c r="E4" s="607"/>
    </row>
    <row r="5" spans="1:9" x14ac:dyDescent="0.25">
      <c r="A5" s="608" t="s">
        <v>44</v>
      </c>
      <c r="B5" s="608"/>
      <c r="C5" s="608"/>
      <c r="D5" s="608"/>
      <c r="E5" s="608"/>
    </row>
    <row r="6" spans="1:9" x14ac:dyDescent="0.25">
      <c r="A6" s="608" t="s">
        <v>205</v>
      </c>
      <c r="B6" s="608"/>
      <c r="C6" s="608"/>
      <c r="D6" s="608"/>
      <c r="E6" s="608"/>
    </row>
    <row r="7" spans="1:9" ht="29.25" customHeight="1" x14ac:dyDescent="0.25">
      <c r="A7" s="609" t="s">
        <v>222</v>
      </c>
      <c r="B7" s="609"/>
      <c r="C7" s="609"/>
      <c r="D7" s="609"/>
      <c r="E7" s="609"/>
    </row>
    <row r="8" spans="1:9" ht="15.75" x14ac:dyDescent="0.25">
      <c r="A8" s="609" t="s">
        <v>48</v>
      </c>
      <c r="B8" s="609"/>
      <c r="C8" s="609"/>
      <c r="D8" s="609"/>
      <c r="E8" s="609"/>
      <c r="F8" s="3"/>
    </row>
    <row r="9" spans="1:9" ht="31.5" x14ac:dyDescent="0.25">
      <c r="A9" s="102" t="s">
        <v>34</v>
      </c>
      <c r="B9" s="68" t="s">
        <v>9</v>
      </c>
      <c r="C9" s="69"/>
      <c r="D9" s="615" t="s">
        <v>10</v>
      </c>
      <c r="E9" s="616"/>
      <c r="F9" s="279" t="s">
        <v>9</v>
      </c>
    </row>
    <row r="10" spans="1:9" ht="15.75" x14ac:dyDescent="0.25">
      <c r="A10" s="102"/>
      <c r="B10" s="321"/>
      <c r="C10" s="321"/>
      <c r="D10" s="617" t="s">
        <v>193</v>
      </c>
      <c r="E10" s="618"/>
      <c r="F10" s="70">
        <v>1</v>
      </c>
    </row>
    <row r="11" spans="1:9" ht="15.75" x14ac:dyDescent="0.25">
      <c r="A11" s="68" t="s">
        <v>97</v>
      </c>
      <c r="B11" s="321">
        <v>1</v>
      </c>
      <c r="C11" s="321"/>
      <c r="D11" s="282" t="str">
        <f>'[1]2016'!$AE$25</f>
        <v>Водитель</v>
      </c>
      <c r="E11" s="283"/>
      <c r="F11" s="321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21">
        <v>5.6</v>
      </c>
      <c r="C12" s="321"/>
      <c r="D12" s="619" t="s">
        <v>91</v>
      </c>
      <c r="E12" s="620"/>
      <c r="F12" s="321">
        <v>0.5</v>
      </c>
    </row>
    <row r="13" spans="1:9" ht="15.6" customHeight="1" x14ac:dyDescent="0.25">
      <c r="A13" s="68"/>
      <c r="B13" s="321"/>
      <c r="C13" s="321"/>
      <c r="D13" s="282" t="str">
        <f>'[1]2016'!$AE$26</f>
        <v xml:space="preserve">Уборщик служебных помещений </v>
      </c>
      <c r="E13" s="283"/>
      <c r="F13" s="321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621" t="s">
        <v>59</v>
      </c>
      <c r="E14" s="622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610" t="s">
        <v>190</v>
      </c>
      <c r="B16" s="610"/>
      <c r="C16" s="610"/>
      <c r="D16" s="610"/>
      <c r="E16" s="610"/>
      <c r="F16" s="610"/>
    </row>
    <row r="17" spans="1:9" ht="15.75" x14ac:dyDescent="0.25">
      <c r="A17" s="10" t="s">
        <v>224</v>
      </c>
      <c r="B17" s="42"/>
      <c r="C17" s="42"/>
      <c r="D17" s="42"/>
    </row>
    <row r="18" spans="1:9" x14ac:dyDescent="0.25">
      <c r="A18" s="611" t="s">
        <v>46</v>
      </c>
      <c r="B18" s="611"/>
      <c r="C18" s="611"/>
      <c r="D18" s="611"/>
      <c r="E18" s="611"/>
      <c r="F18" s="611"/>
    </row>
    <row r="19" spans="1:9" x14ac:dyDescent="0.25">
      <c r="A19" s="605"/>
      <c r="B19" s="605"/>
      <c r="C19" s="294"/>
      <c r="D19" s="43">
        <v>0.41</v>
      </c>
      <c r="E19" s="43"/>
    </row>
    <row r="20" spans="1:9" ht="15.6" customHeight="1" x14ac:dyDescent="0.25">
      <c r="A20" s="576" t="s">
        <v>0</v>
      </c>
      <c r="B20" s="576" t="s">
        <v>1</v>
      </c>
      <c r="C20" s="297"/>
      <c r="D20" s="576" t="s">
        <v>2</v>
      </c>
      <c r="E20" s="584" t="s">
        <v>3</v>
      </c>
      <c r="F20" s="585"/>
      <c r="G20" s="591" t="s">
        <v>35</v>
      </c>
      <c r="H20" s="297" t="s">
        <v>5</v>
      </c>
      <c r="I20" s="576" t="s">
        <v>6</v>
      </c>
    </row>
    <row r="21" spans="1:9" ht="30" x14ac:dyDescent="0.25">
      <c r="A21" s="576"/>
      <c r="B21" s="576"/>
      <c r="C21" s="297"/>
      <c r="D21" s="576"/>
      <c r="E21" s="297" t="s">
        <v>230</v>
      </c>
      <c r="F21" s="297" t="s">
        <v>239</v>
      </c>
      <c r="G21" s="591"/>
      <c r="H21" s="297" t="s">
        <v>53</v>
      </c>
      <c r="I21" s="576"/>
    </row>
    <row r="22" spans="1:9" ht="15.75" customHeight="1" x14ac:dyDescent="0.25">
      <c r="A22" s="576"/>
      <c r="B22" s="576"/>
      <c r="C22" s="297"/>
      <c r="D22" s="576"/>
      <c r="E22" s="297" t="s">
        <v>4</v>
      </c>
      <c r="F22" s="53"/>
      <c r="G22" s="591"/>
      <c r="H22" s="297" t="s">
        <v>231</v>
      </c>
      <c r="I22" s="576"/>
    </row>
    <row r="23" spans="1:9" x14ac:dyDescent="0.25">
      <c r="A23" s="576">
        <v>1</v>
      </c>
      <c r="B23" s="576">
        <v>2</v>
      </c>
      <c r="C23" s="297"/>
      <c r="D23" s="576">
        <v>3</v>
      </c>
      <c r="E23" s="576" t="s">
        <v>229</v>
      </c>
      <c r="F23" s="576">
        <v>5</v>
      </c>
      <c r="G23" s="591" t="s">
        <v>7</v>
      </c>
      <c r="H23" s="297" t="s">
        <v>54</v>
      </c>
      <c r="I23" s="576" t="s">
        <v>55</v>
      </c>
    </row>
    <row r="24" spans="1:9" x14ac:dyDescent="0.25">
      <c r="A24" s="576"/>
      <c r="B24" s="576"/>
      <c r="C24" s="297"/>
      <c r="D24" s="576"/>
      <c r="E24" s="576"/>
      <c r="F24" s="576"/>
      <c r="G24" s="591"/>
      <c r="H24" s="54">
        <v>1780.6</v>
      </c>
      <c r="I24" s="576"/>
    </row>
    <row r="25" spans="1:9" x14ac:dyDescent="0.25">
      <c r="A25" s="55" t="str">
        <f>'патриотика0,31'!A24</f>
        <v>Методист</v>
      </c>
      <c r="B25" s="88">
        <v>61932.1</v>
      </c>
      <c r="C25" s="88"/>
      <c r="D25" s="29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543.42756958328664</v>
      </c>
      <c r="I25" s="56">
        <f>G25*H25</f>
        <v>396727.12346400006</v>
      </c>
    </row>
    <row r="26" spans="1:9" x14ac:dyDescent="0.25">
      <c r="A26" s="127" t="str">
        <f>A12</f>
        <v>Специалист по работе с молодежью</v>
      </c>
      <c r="B26" s="173">
        <v>44160</v>
      </c>
      <c r="C26" s="173"/>
      <c r="D26" s="29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386.83328100470959</v>
      </c>
      <c r="I26" s="56">
        <f>G26*H26-38222.55</f>
        <v>1543251.5510004393</v>
      </c>
    </row>
    <row r="27" spans="1:9" x14ac:dyDescent="0.25">
      <c r="A27" s="55" t="s">
        <v>8</v>
      </c>
      <c r="B27" s="58"/>
      <c r="C27" s="58"/>
      <c r="D27" s="297">
        <f>SUM(D25:D26)</f>
        <v>2.706</v>
      </c>
      <c r="E27" s="56"/>
      <c r="F27" s="57"/>
      <c r="G27" s="174"/>
      <c r="H27" s="89"/>
      <c r="I27" s="262">
        <f>SUM(I25:I26)</f>
        <v>1939978.6744644395</v>
      </c>
    </row>
    <row r="28" spans="1:9" x14ac:dyDescent="0.25">
      <c r="A28" s="148"/>
      <c r="B28" s="149"/>
      <c r="C28" s="149"/>
      <c r="D28" s="306"/>
      <c r="E28" s="150"/>
      <c r="F28" s="151"/>
      <c r="G28" s="175"/>
      <c r="H28" s="176"/>
    </row>
    <row r="29" spans="1:9" ht="14.45" customHeight="1" x14ac:dyDescent="0.25">
      <c r="A29" s="593" t="s">
        <v>170</v>
      </c>
      <c r="B29" s="593"/>
      <c r="C29" s="593"/>
      <c r="D29" s="593"/>
      <c r="E29" s="593"/>
      <c r="F29" s="593"/>
      <c r="G29" s="598"/>
      <c r="H29" s="598"/>
      <c r="I29" s="153"/>
    </row>
    <row r="30" spans="1:9" ht="15" customHeight="1" x14ac:dyDescent="0.25">
      <c r="A30" s="594" t="s">
        <v>62</v>
      </c>
      <c r="B30" s="597" t="s">
        <v>159</v>
      </c>
      <c r="C30" s="597"/>
      <c r="D30" s="623" t="s">
        <v>163</v>
      </c>
      <c r="E30" s="594" t="s">
        <v>169</v>
      </c>
      <c r="F30" s="626" t="s">
        <v>6</v>
      </c>
      <c r="G30" s="213"/>
      <c r="H30" s="213"/>
    </row>
    <row r="31" spans="1:9" ht="15" customHeight="1" x14ac:dyDescent="0.25">
      <c r="A31" s="595"/>
      <c r="B31" s="597"/>
      <c r="C31" s="597"/>
      <c r="D31" s="624"/>
      <c r="E31" s="595"/>
      <c r="F31" s="626"/>
      <c r="G31" s="176"/>
      <c r="H31" s="176"/>
    </row>
    <row r="32" spans="1:9" x14ac:dyDescent="0.25">
      <c r="A32" s="596"/>
      <c r="B32" s="597"/>
      <c r="C32" s="597"/>
      <c r="D32" s="625"/>
      <c r="E32" s="596"/>
      <c r="F32" s="626"/>
      <c r="G32" s="38"/>
    </row>
    <row r="33" spans="1:9" x14ac:dyDescent="0.25">
      <c r="A33" s="287">
        <v>1</v>
      </c>
      <c r="B33" s="599">
        <v>2</v>
      </c>
      <c r="C33" s="600"/>
      <c r="D33" s="287">
        <v>5</v>
      </c>
      <c r="E33" s="178">
        <v>6</v>
      </c>
      <c r="F33" s="178">
        <v>7</v>
      </c>
      <c r="G33" s="38"/>
    </row>
    <row r="34" spans="1:9" x14ac:dyDescent="0.25">
      <c r="A34" s="285" t="s">
        <v>97</v>
      </c>
      <c r="B34" s="285">
        <v>0.41</v>
      </c>
      <c r="C34" s="286">
        <v>1</v>
      </c>
      <c r="D34" s="152">
        <v>444.75</v>
      </c>
      <c r="E34" s="179">
        <f>D34*30.2%</f>
        <v>134.31450000000001</v>
      </c>
      <c r="F34" s="179">
        <f>D34+E34</f>
        <v>579.06449999999995</v>
      </c>
      <c r="G34" s="38"/>
    </row>
    <row r="35" spans="1:9" x14ac:dyDescent="0.25">
      <c r="A35" s="285" t="s">
        <v>165</v>
      </c>
      <c r="B35" s="599">
        <v>2.2959999999999998</v>
      </c>
      <c r="C35" s="600"/>
      <c r="D35" s="152">
        <v>1784.64</v>
      </c>
      <c r="E35" s="179">
        <f>D35*30.2%</f>
        <v>538.96127999999999</v>
      </c>
      <c r="F35" s="179">
        <f>D35+E35</f>
        <v>2323.6012799999999</v>
      </c>
      <c r="G35" s="38"/>
    </row>
    <row r="36" spans="1:9" x14ac:dyDescent="0.25">
      <c r="A36" s="284"/>
      <c r="B36" s="601">
        <f>SUM(B34:C35)</f>
        <v>3.7059999999999995</v>
      </c>
      <c r="C36" s="601"/>
      <c r="D36" s="129">
        <f>SUM(D34:D35)</f>
        <v>2229.3900000000003</v>
      </c>
      <c r="E36" s="129">
        <f>SUM(E34:E35)</f>
        <v>673.27577999999994</v>
      </c>
      <c r="F36" s="129">
        <f>SUM(F34:F35)</f>
        <v>2902.6657799999998</v>
      </c>
      <c r="G36" s="38"/>
    </row>
    <row r="37" spans="1:9" hidden="1" x14ac:dyDescent="0.25">
      <c r="A37" s="148"/>
      <c r="B37" s="149"/>
      <c r="C37" s="149"/>
      <c r="D37" s="306"/>
      <c r="E37" s="150"/>
      <c r="F37" s="151"/>
      <c r="G37" s="175"/>
      <c r="H37" s="176"/>
    </row>
    <row r="38" spans="1:9" ht="14.45" hidden="1" customHeight="1" x14ac:dyDescent="0.25">
      <c r="A38" s="593" t="s">
        <v>174</v>
      </c>
      <c r="B38" s="593"/>
      <c r="C38" s="593"/>
      <c r="D38" s="593"/>
      <c r="E38" s="593"/>
      <c r="F38" s="593"/>
      <c r="G38" s="593"/>
      <c r="H38" s="593"/>
      <c r="I38" s="153"/>
    </row>
    <row r="39" spans="1:9" ht="28.9" hidden="1" customHeight="1" x14ac:dyDescent="0.25">
      <c r="A39" s="594" t="s">
        <v>62</v>
      </c>
      <c r="B39" s="597" t="s">
        <v>159</v>
      </c>
      <c r="C39" s="597"/>
      <c r="D39" s="612" t="s">
        <v>160</v>
      </c>
      <c r="E39" s="613"/>
      <c r="F39" s="288"/>
      <c r="G39" s="38"/>
    </row>
    <row r="40" spans="1:9" ht="14.45" hidden="1" customHeight="1" x14ac:dyDescent="0.25">
      <c r="A40" s="595"/>
      <c r="B40" s="597"/>
      <c r="C40" s="597"/>
      <c r="D40" s="597" t="s">
        <v>161</v>
      </c>
      <c r="E40" s="594" t="s">
        <v>169</v>
      </c>
      <c r="F40" s="594" t="s">
        <v>173</v>
      </c>
      <c r="G40" s="38"/>
    </row>
    <row r="41" spans="1:9" hidden="1" x14ac:dyDescent="0.25">
      <c r="A41" s="596"/>
      <c r="B41" s="597"/>
      <c r="C41" s="597"/>
      <c r="D41" s="597"/>
      <c r="E41" s="596"/>
      <c r="F41" s="596"/>
      <c r="G41" s="38"/>
    </row>
    <row r="42" spans="1:9" hidden="1" x14ac:dyDescent="0.25">
      <c r="A42" s="287">
        <v>1</v>
      </c>
      <c r="B42" s="599">
        <v>2</v>
      </c>
      <c r="C42" s="600"/>
      <c r="D42" s="287">
        <v>3</v>
      </c>
      <c r="E42" s="178">
        <v>6</v>
      </c>
      <c r="F42" s="178">
        <v>7</v>
      </c>
      <c r="G42" s="38"/>
    </row>
    <row r="43" spans="1:9" hidden="1" x14ac:dyDescent="0.25">
      <c r="A43" s="285" t="s">
        <v>165</v>
      </c>
      <c r="B43" s="599">
        <f>5.6*0.367</f>
        <v>2.0551999999999997</v>
      </c>
      <c r="C43" s="600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9" hidden="1" x14ac:dyDescent="0.25">
      <c r="A44" s="284"/>
      <c r="B44" s="601">
        <f>SUM(B43:C43)</f>
        <v>2.0551999999999997</v>
      </c>
      <c r="C44" s="601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hidden="1" x14ac:dyDescent="0.25">
      <c r="A45" s="148"/>
      <c r="B45" s="149"/>
      <c r="C45" s="149"/>
      <c r="D45" s="306"/>
      <c r="E45" s="150"/>
      <c r="F45" s="151"/>
      <c r="G45" s="175"/>
      <c r="H45" s="176"/>
    </row>
    <row r="46" spans="1:9" x14ac:dyDescent="0.25">
      <c r="A46" s="148"/>
      <c r="B46" s="149"/>
      <c r="C46" s="149"/>
      <c r="D46" s="306"/>
      <c r="E46" s="150"/>
      <c r="F46" s="151"/>
      <c r="G46" s="175"/>
      <c r="H46" s="176"/>
    </row>
    <row r="47" spans="1:9" x14ac:dyDescent="0.25">
      <c r="A47" s="592" t="s">
        <v>61</v>
      </c>
      <c r="B47" s="592"/>
      <c r="C47" s="592"/>
      <c r="D47" s="592"/>
      <c r="E47" s="592"/>
      <c r="F47" s="592"/>
      <c r="I47" s="180"/>
    </row>
    <row r="48" spans="1:9" x14ac:dyDescent="0.25">
      <c r="A48" s="295" t="s">
        <v>85</v>
      </c>
      <c r="B48" s="44" t="s">
        <v>549</v>
      </c>
      <c r="C48" s="44"/>
      <c r="D48" s="44"/>
      <c r="E48" s="45"/>
      <c r="F48" s="45"/>
      <c r="I48" s="39"/>
    </row>
    <row r="49" spans="1:11" x14ac:dyDescent="0.25">
      <c r="D49" s="46">
        <f>D19</f>
        <v>0.41</v>
      </c>
      <c r="I49" s="39"/>
      <c r="J49" s="38" t="s">
        <v>108</v>
      </c>
      <c r="K49" s="39">
        <f>I27+I192</f>
        <v>2855602.7957700398</v>
      </c>
    </row>
    <row r="50" spans="1:11" x14ac:dyDescent="0.25">
      <c r="A50" s="576" t="s">
        <v>27</v>
      </c>
      <c r="B50" s="576"/>
      <c r="C50" s="297"/>
      <c r="D50" s="576" t="s">
        <v>11</v>
      </c>
      <c r="E50" s="560" t="s">
        <v>49</v>
      </c>
      <c r="F50" s="560" t="s">
        <v>15</v>
      </c>
      <c r="G50" s="586" t="s">
        <v>6</v>
      </c>
      <c r="I50" s="39"/>
      <c r="J50" s="38" t="s">
        <v>109</v>
      </c>
      <c r="K50" s="38">
        <v>2855602.81</v>
      </c>
    </row>
    <row r="51" spans="1:11" hidden="1" x14ac:dyDescent="0.25">
      <c r="A51" s="576"/>
      <c r="B51" s="576"/>
      <c r="C51" s="297"/>
      <c r="D51" s="576"/>
      <c r="E51" s="561"/>
      <c r="F51" s="561"/>
      <c r="G51" s="587"/>
    </row>
    <row r="52" spans="1:11" x14ac:dyDescent="0.25">
      <c r="A52" s="584">
        <v>1</v>
      </c>
      <c r="B52" s="585"/>
      <c r="C52" s="292"/>
      <c r="D52" s="297">
        <v>2</v>
      </c>
      <c r="E52" s="57">
        <v>3</v>
      </c>
      <c r="F52" s="297">
        <v>4</v>
      </c>
      <c r="G52" s="59" t="s">
        <v>70</v>
      </c>
      <c r="I52" s="39"/>
      <c r="K52" s="39">
        <f>K50-K49</f>
        <v>1.4229960273951292E-2</v>
      </c>
    </row>
    <row r="53" spans="1:11" ht="15.75" x14ac:dyDescent="0.25">
      <c r="A53" s="285" t="s">
        <v>194</v>
      </c>
      <c r="B53" s="307"/>
      <c r="C53" s="307"/>
      <c r="D53" s="287" t="s">
        <v>196</v>
      </c>
      <c r="E53" s="380">
        <f>4*5*D49</f>
        <v>8.1999999999999993</v>
      </c>
      <c r="F53" s="381">
        <v>450</v>
      </c>
      <c r="G53" s="59">
        <f>E53*F53</f>
        <v>3689.9999999999995</v>
      </c>
    </row>
    <row r="54" spans="1:11" ht="15.75" x14ac:dyDescent="0.25">
      <c r="A54" s="285" t="s">
        <v>195</v>
      </c>
      <c r="B54" s="307"/>
      <c r="C54" s="307"/>
      <c r="D54" s="287" t="s">
        <v>39</v>
      </c>
      <c r="E54" s="380">
        <f>5*D49</f>
        <v>2.0499999999999998</v>
      </c>
      <c r="F54" s="381">
        <v>6000</v>
      </c>
      <c r="G54" s="59">
        <f>E54*F54</f>
        <v>12299.999999999998</v>
      </c>
    </row>
    <row r="55" spans="1:11" ht="15.75" x14ac:dyDescent="0.25">
      <c r="A55" s="285" t="s">
        <v>242</v>
      </c>
      <c r="B55" s="307"/>
      <c r="C55" s="307"/>
      <c r="D55" s="287" t="s">
        <v>196</v>
      </c>
      <c r="E55" s="380">
        <f>5*D49*3</f>
        <v>6.1499999999999995</v>
      </c>
      <c r="F55" s="381">
        <v>1509</v>
      </c>
      <c r="G55" s="59">
        <f>E55*F55</f>
        <v>9280.3499999999985</v>
      </c>
    </row>
    <row r="56" spans="1:11" x14ac:dyDescent="0.25">
      <c r="A56" s="562" t="s">
        <v>60</v>
      </c>
      <c r="B56" s="563"/>
      <c r="C56" s="296"/>
      <c r="D56" s="60"/>
      <c r="E56" s="356"/>
      <c r="F56" s="356"/>
      <c r="G56" s="257">
        <f>SUM(G53:G55)</f>
        <v>25270.35</v>
      </c>
    </row>
    <row r="57" spans="1:11" x14ac:dyDescent="0.25">
      <c r="A57" s="61"/>
      <c r="B57" s="61"/>
      <c r="C57" s="61"/>
      <c r="D57" s="62"/>
      <c r="E57" s="62"/>
      <c r="F57" s="62"/>
      <c r="G57" s="63"/>
    </row>
    <row r="58" spans="1:11" x14ac:dyDescent="0.25">
      <c r="A58" s="592" t="s">
        <v>86</v>
      </c>
      <c r="B58" s="592"/>
      <c r="C58" s="592"/>
      <c r="D58" s="592"/>
      <c r="E58" s="592"/>
      <c r="F58" s="592"/>
    </row>
    <row r="59" spans="1:11" ht="14.45" customHeight="1" x14ac:dyDescent="0.25">
      <c r="D59" s="46"/>
      <c r="F59" s="38">
        <v>1</v>
      </c>
    </row>
    <row r="60" spans="1:11" x14ac:dyDescent="0.25">
      <c r="A60" s="560" t="s">
        <v>124</v>
      </c>
      <c r="B60" s="576" t="s">
        <v>11</v>
      </c>
      <c r="C60" s="576" t="s">
        <v>11</v>
      </c>
      <c r="D60" s="560" t="s">
        <v>49</v>
      </c>
      <c r="E60" s="560" t="s">
        <v>15</v>
      </c>
      <c r="F60" s="586" t="s">
        <v>6</v>
      </c>
      <c r="G60" s="38"/>
    </row>
    <row r="61" spans="1:11" ht="15" customHeight="1" x14ac:dyDescent="0.25">
      <c r="A61" s="561"/>
      <c r="B61" s="576"/>
      <c r="C61" s="576"/>
      <c r="D61" s="561"/>
      <c r="E61" s="561"/>
      <c r="F61" s="587"/>
      <c r="G61" s="38"/>
    </row>
    <row r="62" spans="1:11" x14ac:dyDescent="0.25">
      <c r="A62" s="469">
        <v>1</v>
      </c>
      <c r="B62" s="464" t="s">
        <v>88</v>
      </c>
      <c r="C62" s="297">
        <v>2</v>
      </c>
      <c r="D62" s="298">
        <v>3</v>
      </c>
      <c r="E62" s="298">
        <v>4</v>
      </c>
      <c r="F62" s="59" t="s">
        <v>70</v>
      </c>
      <c r="G62" s="38"/>
    </row>
    <row r="63" spans="1:11" x14ac:dyDescent="0.25">
      <c r="A63" s="472" t="s">
        <v>396</v>
      </c>
      <c r="B63" s="464" t="s">
        <v>88</v>
      </c>
      <c r="C63" s="457"/>
      <c r="D63" s="342">
        <v>20</v>
      </c>
      <c r="E63" s="344">
        <v>260</v>
      </c>
      <c r="F63" s="59">
        <f>D63*E63</f>
        <v>5200</v>
      </c>
      <c r="G63" s="38"/>
    </row>
    <row r="64" spans="1:11" x14ac:dyDescent="0.25">
      <c r="A64" s="472" t="s">
        <v>396</v>
      </c>
      <c r="B64" s="464" t="s">
        <v>88</v>
      </c>
      <c r="C64" s="457"/>
      <c r="D64" s="342">
        <v>20</v>
      </c>
      <c r="E64" s="344">
        <v>240</v>
      </c>
      <c r="F64" s="59">
        <f t="shared" ref="F64:F127" si="0">D64*E64</f>
        <v>4800</v>
      </c>
      <c r="G64" s="38"/>
    </row>
    <row r="65" spans="1:7" x14ac:dyDescent="0.25">
      <c r="A65" s="473" t="s">
        <v>238</v>
      </c>
      <c r="B65" s="464" t="s">
        <v>88</v>
      </c>
      <c r="C65" s="457"/>
      <c r="D65" s="343"/>
      <c r="E65" s="343"/>
      <c r="F65" s="59">
        <f t="shared" si="0"/>
        <v>0</v>
      </c>
      <c r="G65" s="38"/>
    </row>
    <row r="66" spans="1:7" x14ac:dyDescent="0.25">
      <c r="A66" s="433" t="s">
        <v>397</v>
      </c>
      <c r="B66" s="464" t="s">
        <v>88</v>
      </c>
      <c r="C66" s="457"/>
      <c r="D66" s="479"/>
      <c r="E66" s="479"/>
      <c r="F66" s="59">
        <f t="shared" si="0"/>
        <v>0</v>
      </c>
      <c r="G66" s="38"/>
    </row>
    <row r="67" spans="1:7" x14ac:dyDescent="0.25">
      <c r="A67" s="474" t="s">
        <v>398</v>
      </c>
      <c r="B67" s="464" t="s">
        <v>88</v>
      </c>
      <c r="C67" s="457"/>
      <c r="D67" s="343">
        <v>20</v>
      </c>
      <c r="E67" s="343">
        <v>150</v>
      </c>
      <c r="F67" s="59">
        <f t="shared" si="0"/>
        <v>3000</v>
      </c>
      <c r="G67" s="38"/>
    </row>
    <row r="68" spans="1:7" x14ac:dyDescent="0.25">
      <c r="A68" s="474" t="s">
        <v>399</v>
      </c>
      <c r="B68" s="464" t="s">
        <v>88</v>
      </c>
      <c r="C68" s="457"/>
      <c r="D68" s="343">
        <v>1</v>
      </c>
      <c r="E68" s="343">
        <v>2500</v>
      </c>
      <c r="F68" s="59">
        <f t="shared" si="0"/>
        <v>2500</v>
      </c>
      <c r="G68" s="38"/>
    </row>
    <row r="69" spans="1:7" x14ac:dyDescent="0.25">
      <c r="A69" s="475" t="s">
        <v>400</v>
      </c>
      <c r="B69" s="464" t="s">
        <v>88</v>
      </c>
      <c r="C69" s="457"/>
      <c r="D69" s="343"/>
      <c r="E69" s="343"/>
      <c r="F69" s="59">
        <f t="shared" si="0"/>
        <v>0</v>
      </c>
      <c r="G69" s="38"/>
    </row>
    <row r="70" spans="1:7" x14ac:dyDescent="0.25">
      <c r="A70" s="474" t="s">
        <v>401</v>
      </c>
      <c r="B70" s="464" t="s">
        <v>88</v>
      </c>
      <c r="C70" s="457"/>
      <c r="D70" s="343">
        <v>20</v>
      </c>
      <c r="E70" s="343">
        <v>900</v>
      </c>
      <c r="F70" s="59">
        <f t="shared" si="0"/>
        <v>18000</v>
      </c>
      <c r="G70" s="38"/>
    </row>
    <row r="71" spans="1:7" x14ac:dyDescent="0.25">
      <c r="A71" s="474" t="s">
        <v>402</v>
      </c>
      <c r="B71" s="464" t="s">
        <v>88</v>
      </c>
      <c r="C71" s="457"/>
      <c r="D71" s="343">
        <v>20</v>
      </c>
      <c r="E71" s="343">
        <v>400</v>
      </c>
      <c r="F71" s="59">
        <f t="shared" si="0"/>
        <v>8000</v>
      </c>
      <c r="G71" s="38"/>
    </row>
    <row r="72" spans="1:7" x14ac:dyDescent="0.25">
      <c r="A72" s="474" t="s">
        <v>403</v>
      </c>
      <c r="B72" s="464" t="s">
        <v>88</v>
      </c>
      <c r="C72" s="457"/>
      <c r="D72" s="343">
        <v>5</v>
      </c>
      <c r="E72" s="343">
        <v>800</v>
      </c>
      <c r="F72" s="59">
        <f t="shared" si="0"/>
        <v>4000</v>
      </c>
      <c r="G72" s="38"/>
    </row>
    <row r="73" spans="1:7" x14ac:dyDescent="0.25">
      <c r="A73" s="474" t="s">
        <v>404</v>
      </c>
      <c r="B73" s="464" t="s">
        <v>88</v>
      </c>
      <c r="C73" s="457"/>
      <c r="D73" s="343">
        <v>1</v>
      </c>
      <c r="E73" s="343">
        <v>1043</v>
      </c>
      <c r="F73" s="59">
        <f t="shared" si="0"/>
        <v>1043</v>
      </c>
      <c r="G73" s="38"/>
    </row>
    <row r="74" spans="1:7" x14ac:dyDescent="0.25">
      <c r="A74" s="475" t="s">
        <v>405</v>
      </c>
      <c r="B74" s="464" t="s">
        <v>88</v>
      </c>
      <c r="C74" s="457"/>
      <c r="D74" s="343"/>
      <c r="E74" s="343"/>
      <c r="F74" s="59">
        <f t="shared" si="0"/>
        <v>0</v>
      </c>
      <c r="G74" s="38"/>
    </row>
    <row r="75" spans="1:7" x14ac:dyDescent="0.25">
      <c r="A75" s="474" t="s">
        <v>406</v>
      </c>
      <c r="B75" s="464" t="s">
        <v>88</v>
      </c>
      <c r="C75" s="457"/>
      <c r="D75" s="343">
        <v>2</v>
      </c>
      <c r="E75" s="343">
        <v>2000.1</v>
      </c>
      <c r="F75" s="59">
        <f t="shared" si="0"/>
        <v>4000.2</v>
      </c>
      <c r="G75" s="38"/>
    </row>
    <row r="76" spans="1:7" x14ac:dyDescent="0.25">
      <c r="A76" s="474" t="s">
        <v>407</v>
      </c>
      <c r="B76" s="464" t="s">
        <v>88</v>
      </c>
      <c r="C76" s="457"/>
      <c r="D76" s="343">
        <v>2</v>
      </c>
      <c r="E76" s="343">
        <v>2000</v>
      </c>
      <c r="F76" s="59">
        <f t="shared" si="0"/>
        <v>4000</v>
      </c>
      <c r="G76" s="38"/>
    </row>
    <row r="77" spans="1:7" x14ac:dyDescent="0.25">
      <c r="A77" s="474" t="s">
        <v>408</v>
      </c>
      <c r="B77" s="464" t="s">
        <v>88</v>
      </c>
      <c r="C77" s="457"/>
      <c r="D77" s="343">
        <v>20</v>
      </c>
      <c r="E77" s="343">
        <v>70</v>
      </c>
      <c r="F77" s="59">
        <f t="shared" si="0"/>
        <v>1400</v>
      </c>
      <c r="G77" s="38"/>
    </row>
    <row r="78" spans="1:7" x14ac:dyDescent="0.25">
      <c r="A78" s="474" t="s">
        <v>409</v>
      </c>
      <c r="B78" s="464" t="s">
        <v>88</v>
      </c>
      <c r="C78" s="457"/>
      <c r="D78" s="343">
        <v>20</v>
      </c>
      <c r="E78" s="343">
        <v>70</v>
      </c>
      <c r="F78" s="59">
        <f t="shared" si="0"/>
        <v>1400</v>
      </c>
      <c r="G78" s="38"/>
    </row>
    <row r="79" spans="1:7" x14ac:dyDescent="0.25">
      <c r="A79" s="474" t="s">
        <v>410</v>
      </c>
      <c r="B79" s="464" t="s">
        <v>88</v>
      </c>
      <c r="C79" s="457"/>
      <c r="D79" s="343">
        <v>20</v>
      </c>
      <c r="E79" s="343">
        <v>70</v>
      </c>
      <c r="F79" s="59">
        <f t="shared" si="0"/>
        <v>1400</v>
      </c>
      <c r="G79" s="38"/>
    </row>
    <row r="80" spans="1:7" x14ac:dyDescent="0.25">
      <c r="A80" s="433" t="s">
        <v>376</v>
      </c>
      <c r="B80" s="464" t="s">
        <v>88</v>
      </c>
      <c r="C80" s="457"/>
      <c r="D80" s="343"/>
      <c r="E80" s="343"/>
      <c r="F80" s="59">
        <f t="shared" si="0"/>
        <v>0</v>
      </c>
      <c r="G80" s="38"/>
    </row>
    <row r="81" spans="1:7" x14ac:dyDescent="0.25">
      <c r="A81" s="474" t="s">
        <v>411</v>
      </c>
      <c r="B81" s="464" t="s">
        <v>88</v>
      </c>
      <c r="C81" s="457"/>
      <c r="D81" s="343">
        <v>6</v>
      </c>
      <c r="E81" s="343">
        <v>3600</v>
      </c>
      <c r="F81" s="59">
        <f t="shared" si="0"/>
        <v>21600</v>
      </c>
      <c r="G81" s="38"/>
    </row>
    <row r="82" spans="1:7" x14ac:dyDescent="0.25">
      <c r="A82" s="474" t="s">
        <v>412</v>
      </c>
      <c r="B82" s="464" t="s">
        <v>88</v>
      </c>
      <c r="C82" s="457"/>
      <c r="D82" s="343">
        <v>40</v>
      </c>
      <c r="E82" s="343">
        <v>400</v>
      </c>
      <c r="F82" s="59">
        <f t="shared" si="0"/>
        <v>16000</v>
      </c>
      <c r="G82" s="38"/>
    </row>
    <row r="83" spans="1:7" x14ac:dyDescent="0.25">
      <c r="A83" s="476" t="s">
        <v>234</v>
      </c>
      <c r="B83" s="464" t="s">
        <v>88</v>
      </c>
      <c r="C83" s="457"/>
      <c r="D83" s="480">
        <v>0</v>
      </c>
      <c r="E83" s="480">
        <v>14560.04</v>
      </c>
      <c r="F83" s="59">
        <f t="shared" si="0"/>
        <v>0</v>
      </c>
      <c r="G83" s="38"/>
    </row>
    <row r="84" spans="1:7" x14ac:dyDescent="0.25">
      <c r="A84" s="511" t="s">
        <v>413</v>
      </c>
      <c r="B84" s="464" t="s">
        <v>88</v>
      </c>
      <c r="C84" s="457"/>
      <c r="D84" s="481">
        <v>40</v>
      </c>
      <c r="E84" s="483">
        <v>25</v>
      </c>
      <c r="F84" s="59">
        <f t="shared" si="0"/>
        <v>1000</v>
      </c>
      <c r="G84" s="38"/>
    </row>
    <row r="85" spans="1:7" x14ac:dyDescent="0.25">
      <c r="A85" s="511" t="s">
        <v>414</v>
      </c>
      <c r="B85" s="464" t="s">
        <v>88</v>
      </c>
      <c r="C85" s="457"/>
      <c r="D85" s="481">
        <v>1</v>
      </c>
      <c r="E85" s="483">
        <v>85</v>
      </c>
      <c r="F85" s="59">
        <f t="shared" si="0"/>
        <v>85</v>
      </c>
      <c r="G85" s="38"/>
    </row>
    <row r="86" spans="1:7" x14ac:dyDescent="0.25">
      <c r="A86" s="511" t="s">
        <v>415</v>
      </c>
      <c r="B86" s="464" t="s">
        <v>88</v>
      </c>
      <c r="C86" s="457"/>
      <c r="D86" s="481">
        <v>2</v>
      </c>
      <c r="E86" s="483">
        <v>97</v>
      </c>
      <c r="F86" s="59">
        <f t="shared" si="0"/>
        <v>194</v>
      </c>
      <c r="G86" s="38"/>
    </row>
    <row r="87" spans="1:7" ht="25.5" x14ac:dyDescent="0.25">
      <c r="A87" s="511" t="s">
        <v>416</v>
      </c>
      <c r="B87" s="464" t="s">
        <v>88</v>
      </c>
      <c r="C87" s="457"/>
      <c r="D87" s="481">
        <v>1</v>
      </c>
      <c r="E87" s="483">
        <v>973</v>
      </c>
      <c r="F87" s="59">
        <f t="shared" si="0"/>
        <v>973</v>
      </c>
      <c r="G87" s="38"/>
    </row>
    <row r="88" spans="1:7" x14ac:dyDescent="0.25">
      <c r="A88" s="511" t="s">
        <v>417</v>
      </c>
      <c r="B88" s="464" t="s">
        <v>88</v>
      </c>
      <c r="C88" s="457"/>
      <c r="D88" s="481">
        <v>1</v>
      </c>
      <c r="E88" s="483">
        <v>150</v>
      </c>
      <c r="F88" s="59">
        <f t="shared" si="0"/>
        <v>150</v>
      </c>
      <c r="G88" s="38"/>
    </row>
    <row r="89" spans="1:7" x14ac:dyDescent="0.25">
      <c r="A89" s="511" t="s">
        <v>418</v>
      </c>
      <c r="B89" s="464" t="s">
        <v>88</v>
      </c>
      <c r="C89" s="457"/>
      <c r="D89" s="481">
        <v>1</v>
      </c>
      <c r="E89" s="483">
        <v>74</v>
      </c>
      <c r="F89" s="59">
        <f t="shared" si="0"/>
        <v>74</v>
      </c>
      <c r="G89" s="38"/>
    </row>
    <row r="90" spans="1:7" x14ac:dyDescent="0.25">
      <c r="A90" s="511" t="s">
        <v>419</v>
      </c>
      <c r="B90" s="464" t="s">
        <v>88</v>
      </c>
      <c r="C90" s="457"/>
      <c r="D90" s="481">
        <v>1</v>
      </c>
      <c r="E90" s="483">
        <v>128</v>
      </c>
      <c r="F90" s="59">
        <f t="shared" si="0"/>
        <v>128</v>
      </c>
      <c r="G90" s="38"/>
    </row>
    <row r="91" spans="1:7" x14ac:dyDescent="0.25">
      <c r="A91" s="511" t="s">
        <v>420</v>
      </c>
      <c r="B91" s="464" t="s">
        <v>88</v>
      </c>
      <c r="C91" s="457"/>
      <c r="D91" s="481">
        <v>1</v>
      </c>
      <c r="E91" s="483">
        <v>30</v>
      </c>
      <c r="F91" s="59">
        <f t="shared" si="0"/>
        <v>30</v>
      </c>
      <c r="G91" s="38"/>
    </row>
    <row r="92" spans="1:7" x14ac:dyDescent="0.25">
      <c r="A92" s="511" t="s">
        <v>421</v>
      </c>
      <c r="B92" s="464" t="s">
        <v>88</v>
      </c>
      <c r="C92" s="457"/>
      <c r="D92" s="481">
        <v>4</v>
      </c>
      <c r="E92" s="483">
        <v>82</v>
      </c>
      <c r="F92" s="59">
        <f t="shared" si="0"/>
        <v>328</v>
      </c>
      <c r="G92" s="38"/>
    </row>
    <row r="93" spans="1:7" x14ac:dyDescent="0.25">
      <c r="A93" s="511" t="s">
        <v>422</v>
      </c>
      <c r="B93" s="464" t="s">
        <v>88</v>
      </c>
      <c r="C93" s="457"/>
      <c r="D93" s="481">
        <v>2</v>
      </c>
      <c r="E93" s="483">
        <v>1760</v>
      </c>
      <c r="F93" s="59">
        <f t="shared" si="0"/>
        <v>3520</v>
      </c>
      <c r="G93" s="38"/>
    </row>
    <row r="94" spans="1:7" x14ac:dyDescent="0.25">
      <c r="A94" s="511" t="s">
        <v>423</v>
      </c>
      <c r="B94" s="464" t="s">
        <v>88</v>
      </c>
      <c r="C94" s="457"/>
      <c r="D94" s="481">
        <v>1</v>
      </c>
      <c r="E94" s="483">
        <v>200</v>
      </c>
      <c r="F94" s="59">
        <f t="shared" si="0"/>
        <v>200</v>
      </c>
      <c r="G94" s="38"/>
    </row>
    <row r="95" spans="1:7" x14ac:dyDescent="0.25">
      <c r="A95" s="511" t="s">
        <v>424</v>
      </c>
      <c r="B95" s="464" t="s">
        <v>88</v>
      </c>
      <c r="C95" s="457"/>
      <c r="D95" s="481">
        <v>1</v>
      </c>
      <c r="E95" s="483">
        <v>553</v>
      </c>
      <c r="F95" s="59">
        <f t="shared" si="0"/>
        <v>553</v>
      </c>
      <c r="G95" s="38"/>
    </row>
    <row r="96" spans="1:7" x14ac:dyDescent="0.25">
      <c r="A96" s="511" t="s">
        <v>425</v>
      </c>
      <c r="B96" s="464" t="s">
        <v>88</v>
      </c>
      <c r="C96" s="457"/>
      <c r="D96" s="481">
        <v>1</v>
      </c>
      <c r="E96" s="483">
        <v>385</v>
      </c>
      <c r="F96" s="59">
        <f t="shared" si="0"/>
        <v>385</v>
      </c>
      <c r="G96" s="38"/>
    </row>
    <row r="97" spans="1:7" x14ac:dyDescent="0.25">
      <c r="A97" s="511" t="s">
        <v>426</v>
      </c>
      <c r="B97" s="464" t="s">
        <v>88</v>
      </c>
      <c r="C97" s="457"/>
      <c r="D97" s="481">
        <v>1</v>
      </c>
      <c r="E97" s="483">
        <v>120</v>
      </c>
      <c r="F97" s="59">
        <f t="shared" si="0"/>
        <v>120</v>
      </c>
      <c r="G97" s="38"/>
    </row>
    <row r="98" spans="1:7" x14ac:dyDescent="0.25">
      <c r="A98" s="511" t="s">
        <v>427</v>
      </c>
      <c r="B98" s="464" t="s">
        <v>88</v>
      </c>
      <c r="C98" s="457"/>
      <c r="D98" s="481">
        <v>1</v>
      </c>
      <c r="E98" s="483">
        <v>1400</v>
      </c>
      <c r="F98" s="59">
        <f t="shared" si="0"/>
        <v>1400</v>
      </c>
      <c r="G98" s="38"/>
    </row>
    <row r="99" spans="1:7" x14ac:dyDescent="0.25">
      <c r="A99" s="511" t="s">
        <v>428</v>
      </c>
      <c r="B99" s="464" t="s">
        <v>88</v>
      </c>
      <c r="C99" s="457"/>
      <c r="D99" s="481">
        <v>1</v>
      </c>
      <c r="E99" s="483">
        <v>310</v>
      </c>
      <c r="F99" s="59">
        <f t="shared" si="0"/>
        <v>310</v>
      </c>
      <c r="G99" s="38"/>
    </row>
    <row r="100" spans="1:7" x14ac:dyDescent="0.25">
      <c r="A100" s="511" t="s">
        <v>429</v>
      </c>
      <c r="B100" s="464" t="s">
        <v>88</v>
      </c>
      <c r="C100" s="457"/>
      <c r="D100" s="481">
        <v>1</v>
      </c>
      <c r="E100" s="483">
        <v>377</v>
      </c>
      <c r="F100" s="59">
        <f t="shared" si="0"/>
        <v>377</v>
      </c>
      <c r="G100" s="38"/>
    </row>
    <row r="101" spans="1:7" x14ac:dyDescent="0.25">
      <c r="A101" s="511" t="s">
        <v>430</v>
      </c>
      <c r="B101" s="464" t="s">
        <v>88</v>
      </c>
      <c r="C101" s="457"/>
      <c r="D101" s="481">
        <v>1</v>
      </c>
      <c r="E101" s="483">
        <v>230</v>
      </c>
      <c r="F101" s="59">
        <f t="shared" si="0"/>
        <v>230</v>
      </c>
      <c r="G101" s="38"/>
    </row>
    <row r="102" spans="1:7" x14ac:dyDescent="0.25">
      <c r="A102" s="511" t="s">
        <v>431</v>
      </c>
      <c r="B102" s="464" t="s">
        <v>88</v>
      </c>
      <c r="C102" s="457"/>
      <c r="D102" s="481">
        <v>1</v>
      </c>
      <c r="E102" s="483">
        <v>150</v>
      </c>
      <c r="F102" s="59">
        <f t="shared" si="0"/>
        <v>150</v>
      </c>
      <c r="G102" s="38"/>
    </row>
    <row r="103" spans="1:7" x14ac:dyDescent="0.25">
      <c r="A103" s="511" t="s">
        <v>432</v>
      </c>
      <c r="B103" s="464" t="s">
        <v>88</v>
      </c>
      <c r="C103" s="457"/>
      <c r="D103" s="481">
        <v>20</v>
      </c>
      <c r="E103" s="483">
        <v>10</v>
      </c>
      <c r="F103" s="59">
        <f t="shared" si="0"/>
        <v>200</v>
      </c>
      <c r="G103" s="38"/>
    </row>
    <row r="104" spans="1:7" x14ac:dyDescent="0.25">
      <c r="A104" s="511" t="s">
        <v>433</v>
      </c>
      <c r="B104" s="464" t="s">
        <v>88</v>
      </c>
      <c r="C104" s="457"/>
      <c r="D104" s="481">
        <v>918</v>
      </c>
      <c r="E104" s="483">
        <v>1</v>
      </c>
      <c r="F104" s="59">
        <f t="shared" si="0"/>
        <v>918</v>
      </c>
      <c r="G104" s="38"/>
    </row>
    <row r="105" spans="1:7" ht="25.5" x14ac:dyDescent="0.25">
      <c r="A105" s="511" t="s">
        <v>434</v>
      </c>
      <c r="B105" s="464" t="s">
        <v>88</v>
      </c>
      <c r="C105" s="457"/>
      <c r="D105" s="481">
        <v>1</v>
      </c>
      <c r="E105" s="483">
        <v>572</v>
      </c>
      <c r="F105" s="59">
        <f t="shared" si="0"/>
        <v>572</v>
      </c>
      <c r="G105" s="38"/>
    </row>
    <row r="106" spans="1:7" x14ac:dyDescent="0.25">
      <c r="A106" s="511" t="s">
        <v>435</v>
      </c>
      <c r="B106" s="464" t="s">
        <v>88</v>
      </c>
      <c r="C106" s="457"/>
      <c r="D106" s="481">
        <v>1</v>
      </c>
      <c r="E106" s="483">
        <v>216</v>
      </c>
      <c r="F106" s="59">
        <f t="shared" si="0"/>
        <v>216</v>
      </c>
      <c r="G106" s="38"/>
    </row>
    <row r="107" spans="1:7" x14ac:dyDescent="0.25">
      <c r="A107" s="511" t="s">
        <v>436</v>
      </c>
      <c r="B107" s="464" t="s">
        <v>88</v>
      </c>
      <c r="C107" s="457"/>
      <c r="D107" s="481">
        <v>1</v>
      </c>
      <c r="E107" s="483">
        <v>200</v>
      </c>
      <c r="F107" s="59">
        <f t="shared" si="0"/>
        <v>200</v>
      </c>
      <c r="G107" s="38"/>
    </row>
    <row r="108" spans="1:7" x14ac:dyDescent="0.25">
      <c r="A108" s="511" t="s">
        <v>437</v>
      </c>
      <c r="B108" s="464" t="s">
        <v>88</v>
      </c>
      <c r="C108" s="457"/>
      <c r="D108" s="481">
        <v>2</v>
      </c>
      <c r="E108" s="483">
        <v>10</v>
      </c>
      <c r="F108" s="59">
        <f t="shared" si="0"/>
        <v>20</v>
      </c>
      <c r="G108" s="38"/>
    </row>
    <row r="109" spans="1:7" x14ac:dyDescent="0.25">
      <c r="A109" s="511" t="s">
        <v>438</v>
      </c>
      <c r="B109" s="464" t="s">
        <v>88</v>
      </c>
      <c r="C109" s="457"/>
      <c r="D109" s="481">
        <v>1</v>
      </c>
      <c r="E109" s="483">
        <v>280</v>
      </c>
      <c r="F109" s="59">
        <f t="shared" si="0"/>
        <v>280</v>
      </c>
      <c r="G109" s="38"/>
    </row>
    <row r="110" spans="1:7" x14ac:dyDescent="0.25">
      <c r="A110" s="511" t="s">
        <v>439</v>
      </c>
      <c r="B110" s="464" t="s">
        <v>88</v>
      </c>
      <c r="C110" s="457"/>
      <c r="D110" s="481">
        <v>1</v>
      </c>
      <c r="E110" s="483">
        <v>252</v>
      </c>
      <c r="F110" s="59">
        <f t="shared" si="0"/>
        <v>252</v>
      </c>
      <c r="G110" s="38"/>
    </row>
    <row r="111" spans="1:7" x14ac:dyDescent="0.25">
      <c r="A111" s="511" t="s">
        <v>440</v>
      </c>
      <c r="B111" s="464" t="s">
        <v>88</v>
      </c>
      <c r="C111" s="457"/>
      <c r="D111" s="481">
        <v>1</v>
      </c>
      <c r="E111" s="483">
        <v>107</v>
      </c>
      <c r="F111" s="59">
        <f t="shared" si="0"/>
        <v>107</v>
      </c>
      <c r="G111" s="38"/>
    </row>
    <row r="112" spans="1:7" x14ac:dyDescent="0.25">
      <c r="A112" s="511" t="s">
        <v>441</v>
      </c>
      <c r="B112" s="464" t="s">
        <v>88</v>
      </c>
      <c r="C112" s="457"/>
      <c r="D112" s="481">
        <v>1</v>
      </c>
      <c r="E112" s="483">
        <v>193</v>
      </c>
      <c r="F112" s="59">
        <f t="shared" si="0"/>
        <v>193</v>
      </c>
      <c r="G112" s="38"/>
    </row>
    <row r="113" spans="1:7" x14ac:dyDescent="0.25">
      <c r="A113" s="511" t="s">
        <v>442</v>
      </c>
      <c r="B113" s="464" t="s">
        <v>88</v>
      </c>
      <c r="C113" s="457"/>
      <c r="D113" s="481">
        <v>1</v>
      </c>
      <c r="E113" s="483">
        <v>45</v>
      </c>
      <c r="F113" s="59">
        <f t="shared" si="0"/>
        <v>45</v>
      </c>
      <c r="G113" s="38"/>
    </row>
    <row r="114" spans="1:7" x14ac:dyDescent="0.25">
      <c r="A114" s="511" t="s">
        <v>443</v>
      </c>
      <c r="B114" s="464" t="s">
        <v>88</v>
      </c>
      <c r="C114" s="457"/>
      <c r="D114" s="481">
        <v>1</v>
      </c>
      <c r="E114" s="483">
        <v>45</v>
      </c>
      <c r="F114" s="59">
        <f t="shared" si="0"/>
        <v>45</v>
      </c>
      <c r="G114" s="38"/>
    </row>
    <row r="115" spans="1:7" x14ac:dyDescent="0.25">
      <c r="A115" s="511" t="s">
        <v>444</v>
      </c>
      <c r="B115" s="464" t="s">
        <v>88</v>
      </c>
      <c r="C115" s="457"/>
      <c r="D115" s="481">
        <v>100</v>
      </c>
      <c r="E115" s="483">
        <v>0.5</v>
      </c>
      <c r="F115" s="59">
        <f t="shared" si="0"/>
        <v>50</v>
      </c>
      <c r="G115" s="38"/>
    </row>
    <row r="116" spans="1:7" x14ac:dyDescent="0.25">
      <c r="A116" s="511" t="s">
        <v>445</v>
      </c>
      <c r="B116" s="464" t="s">
        <v>88</v>
      </c>
      <c r="C116" s="457"/>
      <c r="D116" s="481">
        <v>100</v>
      </c>
      <c r="E116" s="483">
        <v>1</v>
      </c>
      <c r="F116" s="59">
        <f t="shared" si="0"/>
        <v>100</v>
      </c>
      <c r="G116" s="38"/>
    </row>
    <row r="117" spans="1:7" x14ac:dyDescent="0.25">
      <c r="A117" s="511" t="s">
        <v>446</v>
      </c>
      <c r="B117" s="464" t="s">
        <v>88</v>
      </c>
      <c r="C117" s="457"/>
      <c r="D117" s="481">
        <v>100</v>
      </c>
      <c r="E117" s="483">
        <v>1</v>
      </c>
      <c r="F117" s="59">
        <f t="shared" si="0"/>
        <v>100</v>
      </c>
      <c r="G117" s="38"/>
    </row>
    <row r="118" spans="1:7" x14ac:dyDescent="0.25">
      <c r="A118" s="511" t="s">
        <v>447</v>
      </c>
      <c r="B118" s="464" t="s">
        <v>88</v>
      </c>
      <c r="C118" s="457"/>
      <c r="D118" s="481">
        <v>12</v>
      </c>
      <c r="E118" s="483">
        <v>2</v>
      </c>
      <c r="F118" s="59">
        <f t="shared" si="0"/>
        <v>24</v>
      </c>
      <c r="G118" s="38"/>
    </row>
    <row r="119" spans="1:7" x14ac:dyDescent="0.25">
      <c r="A119" s="511" t="s">
        <v>448</v>
      </c>
      <c r="B119" s="464" t="s">
        <v>88</v>
      </c>
      <c r="C119" s="457"/>
      <c r="D119" s="481">
        <v>4</v>
      </c>
      <c r="E119" s="483">
        <v>3.1</v>
      </c>
      <c r="F119" s="59">
        <f t="shared" si="0"/>
        <v>12.4</v>
      </c>
      <c r="G119" s="38"/>
    </row>
    <row r="120" spans="1:7" x14ac:dyDescent="0.25">
      <c r="A120" s="511" t="s">
        <v>449</v>
      </c>
      <c r="B120" s="464" t="s">
        <v>88</v>
      </c>
      <c r="C120" s="457"/>
      <c r="D120" s="481">
        <v>4</v>
      </c>
      <c r="E120" s="483">
        <v>6</v>
      </c>
      <c r="F120" s="59">
        <f t="shared" si="0"/>
        <v>24</v>
      </c>
      <c r="G120" s="38"/>
    </row>
    <row r="121" spans="1:7" x14ac:dyDescent="0.25">
      <c r="A121" s="511" t="s">
        <v>450</v>
      </c>
      <c r="B121" s="464" t="s">
        <v>88</v>
      </c>
      <c r="C121" s="457"/>
      <c r="D121" s="481">
        <v>8</v>
      </c>
      <c r="E121" s="483">
        <v>1</v>
      </c>
      <c r="F121" s="59">
        <f t="shared" si="0"/>
        <v>8</v>
      </c>
      <c r="G121" s="38"/>
    </row>
    <row r="122" spans="1:7" x14ac:dyDescent="0.25">
      <c r="A122" s="511" t="s">
        <v>451</v>
      </c>
      <c r="B122" s="464" t="s">
        <v>88</v>
      </c>
      <c r="C122" s="457"/>
      <c r="D122" s="481">
        <v>4</v>
      </c>
      <c r="E122" s="483">
        <v>0.84</v>
      </c>
      <c r="F122" s="59">
        <f t="shared" si="0"/>
        <v>3.36</v>
      </c>
      <c r="G122" s="38"/>
    </row>
    <row r="123" spans="1:7" x14ac:dyDescent="0.25">
      <c r="A123" s="511" t="s">
        <v>452</v>
      </c>
      <c r="B123" s="464" t="s">
        <v>88</v>
      </c>
      <c r="C123" s="457"/>
      <c r="D123" s="481">
        <v>3</v>
      </c>
      <c r="E123" s="483">
        <v>7</v>
      </c>
      <c r="F123" s="59">
        <f t="shared" si="0"/>
        <v>21</v>
      </c>
      <c r="G123" s="38"/>
    </row>
    <row r="124" spans="1:7" x14ac:dyDescent="0.25">
      <c r="A124" s="511" t="s">
        <v>453</v>
      </c>
      <c r="B124" s="464" t="s">
        <v>88</v>
      </c>
      <c r="C124" s="457"/>
      <c r="D124" s="481">
        <v>1</v>
      </c>
      <c r="E124" s="483">
        <v>678</v>
      </c>
      <c r="F124" s="59">
        <f t="shared" si="0"/>
        <v>678</v>
      </c>
      <c r="G124" s="38"/>
    </row>
    <row r="125" spans="1:7" x14ac:dyDescent="0.25">
      <c r="A125" s="511" t="s">
        <v>454</v>
      </c>
      <c r="B125" s="464" t="s">
        <v>88</v>
      </c>
      <c r="C125" s="457"/>
      <c r="D125" s="481">
        <v>1</v>
      </c>
      <c r="E125" s="483">
        <v>32</v>
      </c>
      <c r="F125" s="59">
        <f t="shared" si="0"/>
        <v>32</v>
      </c>
      <c r="G125" s="38"/>
    </row>
    <row r="126" spans="1:7" x14ac:dyDescent="0.25">
      <c r="A126" s="511" t="s">
        <v>455</v>
      </c>
      <c r="B126" s="464" t="s">
        <v>88</v>
      </c>
      <c r="C126" s="457"/>
      <c r="D126" s="481">
        <v>4</v>
      </c>
      <c r="E126" s="483">
        <v>27</v>
      </c>
      <c r="F126" s="59">
        <f t="shared" si="0"/>
        <v>108</v>
      </c>
      <c r="G126" s="38"/>
    </row>
    <row r="127" spans="1:7" x14ac:dyDescent="0.25">
      <c r="A127" s="511" t="s">
        <v>456</v>
      </c>
      <c r="B127" s="464" t="s">
        <v>88</v>
      </c>
      <c r="C127" s="457"/>
      <c r="D127" s="481">
        <v>1</v>
      </c>
      <c r="E127" s="483">
        <v>37</v>
      </c>
      <c r="F127" s="59">
        <f t="shared" si="0"/>
        <v>37</v>
      </c>
      <c r="G127" s="38"/>
    </row>
    <row r="128" spans="1:7" x14ac:dyDescent="0.25">
      <c r="A128" s="511" t="s">
        <v>457</v>
      </c>
      <c r="B128" s="464" t="s">
        <v>88</v>
      </c>
      <c r="C128" s="457"/>
      <c r="D128" s="481">
        <v>7</v>
      </c>
      <c r="E128" s="483">
        <v>55</v>
      </c>
      <c r="F128" s="59">
        <f t="shared" ref="F128:F178" si="1">D128*E128</f>
        <v>385</v>
      </c>
      <c r="G128" s="38"/>
    </row>
    <row r="129" spans="1:7" x14ac:dyDescent="0.25">
      <c r="A129" s="511" t="s">
        <v>458</v>
      </c>
      <c r="B129" s="464" t="s">
        <v>88</v>
      </c>
      <c r="C129" s="457"/>
      <c r="D129" s="481">
        <v>1</v>
      </c>
      <c r="E129" s="483">
        <v>379</v>
      </c>
      <c r="F129" s="59">
        <f t="shared" si="1"/>
        <v>379</v>
      </c>
      <c r="G129" s="38"/>
    </row>
    <row r="130" spans="1:7" x14ac:dyDescent="0.25">
      <c r="A130" s="511" t="s">
        <v>459</v>
      </c>
      <c r="B130" s="464" t="s">
        <v>88</v>
      </c>
      <c r="C130" s="457"/>
      <c r="D130" s="481">
        <v>7</v>
      </c>
      <c r="E130" s="483">
        <v>8</v>
      </c>
      <c r="F130" s="59">
        <f t="shared" si="1"/>
        <v>56</v>
      </c>
      <c r="G130" s="38"/>
    </row>
    <row r="131" spans="1:7" x14ac:dyDescent="0.25">
      <c r="A131" s="511" t="s">
        <v>460</v>
      </c>
      <c r="B131" s="464" t="s">
        <v>88</v>
      </c>
      <c r="C131" s="457"/>
      <c r="D131" s="481">
        <v>1</v>
      </c>
      <c r="E131" s="483">
        <v>48</v>
      </c>
      <c r="F131" s="59">
        <f t="shared" si="1"/>
        <v>48</v>
      </c>
      <c r="G131" s="38"/>
    </row>
    <row r="132" spans="1:7" x14ac:dyDescent="0.25">
      <c r="A132" s="511" t="s">
        <v>461</v>
      </c>
      <c r="B132" s="464" t="s">
        <v>88</v>
      </c>
      <c r="C132" s="457"/>
      <c r="D132" s="481">
        <v>1</v>
      </c>
      <c r="E132" s="483">
        <v>55</v>
      </c>
      <c r="F132" s="59">
        <f t="shared" si="1"/>
        <v>55</v>
      </c>
      <c r="G132" s="38"/>
    </row>
    <row r="133" spans="1:7" x14ac:dyDescent="0.25">
      <c r="A133" s="511" t="s">
        <v>462</v>
      </c>
      <c r="B133" s="464" t="s">
        <v>88</v>
      </c>
      <c r="C133" s="457"/>
      <c r="D133" s="481">
        <v>3</v>
      </c>
      <c r="E133" s="483">
        <v>75</v>
      </c>
      <c r="F133" s="59">
        <f t="shared" si="1"/>
        <v>225</v>
      </c>
      <c r="G133" s="38"/>
    </row>
    <row r="134" spans="1:7" x14ac:dyDescent="0.25">
      <c r="A134" s="511" t="s">
        <v>463</v>
      </c>
      <c r="B134" s="464" t="s">
        <v>88</v>
      </c>
      <c r="C134" s="457"/>
      <c r="D134" s="481">
        <v>1</v>
      </c>
      <c r="E134" s="483">
        <v>2165</v>
      </c>
      <c r="F134" s="59">
        <f t="shared" si="1"/>
        <v>2165</v>
      </c>
      <c r="G134" s="38"/>
    </row>
    <row r="135" spans="1:7" x14ac:dyDescent="0.25">
      <c r="A135" s="511" t="s">
        <v>464</v>
      </c>
      <c r="B135" s="464" t="s">
        <v>88</v>
      </c>
      <c r="C135" s="457"/>
      <c r="D135" s="481">
        <v>1</v>
      </c>
      <c r="E135" s="483">
        <v>1510</v>
      </c>
      <c r="F135" s="59">
        <f t="shared" si="1"/>
        <v>1510</v>
      </c>
      <c r="G135" s="38"/>
    </row>
    <row r="136" spans="1:7" x14ac:dyDescent="0.25">
      <c r="A136" s="511" t="s">
        <v>465</v>
      </c>
      <c r="B136" s="464" t="s">
        <v>88</v>
      </c>
      <c r="C136" s="457"/>
      <c r="D136" s="481">
        <v>2</v>
      </c>
      <c r="E136" s="483">
        <v>40</v>
      </c>
      <c r="F136" s="59">
        <f t="shared" si="1"/>
        <v>80</v>
      </c>
      <c r="G136" s="38"/>
    </row>
    <row r="137" spans="1:7" x14ac:dyDescent="0.25">
      <c r="A137" s="511" t="s">
        <v>466</v>
      </c>
      <c r="B137" s="464" t="s">
        <v>88</v>
      </c>
      <c r="C137" s="457"/>
      <c r="D137" s="481">
        <v>1</v>
      </c>
      <c r="E137" s="483">
        <v>21</v>
      </c>
      <c r="F137" s="59">
        <f t="shared" si="1"/>
        <v>21</v>
      </c>
      <c r="G137" s="38"/>
    </row>
    <row r="138" spans="1:7" x14ac:dyDescent="0.25">
      <c r="A138" s="511" t="s">
        <v>467</v>
      </c>
      <c r="B138" s="464" t="s">
        <v>88</v>
      </c>
      <c r="C138" s="457"/>
      <c r="D138" s="481">
        <v>3</v>
      </c>
      <c r="E138" s="483">
        <v>1517</v>
      </c>
      <c r="F138" s="59">
        <f t="shared" si="1"/>
        <v>4551</v>
      </c>
      <c r="G138" s="38"/>
    </row>
    <row r="139" spans="1:7" x14ac:dyDescent="0.25">
      <c r="A139" s="511" t="s">
        <v>468</v>
      </c>
      <c r="B139" s="464" t="s">
        <v>88</v>
      </c>
      <c r="C139" s="457"/>
      <c r="D139" s="481">
        <v>1</v>
      </c>
      <c r="E139" s="483">
        <v>148</v>
      </c>
      <c r="F139" s="59">
        <f t="shared" si="1"/>
        <v>148</v>
      </c>
      <c r="G139" s="38"/>
    </row>
    <row r="140" spans="1:7" x14ac:dyDescent="0.25">
      <c r="A140" s="511" t="s">
        <v>469</v>
      </c>
      <c r="B140" s="464" t="s">
        <v>88</v>
      </c>
      <c r="C140" s="457"/>
      <c r="D140" s="481">
        <v>2</v>
      </c>
      <c r="E140" s="483">
        <v>230</v>
      </c>
      <c r="F140" s="59">
        <f t="shared" si="1"/>
        <v>460</v>
      </c>
      <c r="G140" s="38"/>
    </row>
    <row r="141" spans="1:7" x14ac:dyDescent="0.25">
      <c r="A141" s="511" t="s">
        <v>470</v>
      </c>
      <c r="B141" s="464" t="s">
        <v>88</v>
      </c>
      <c r="C141" s="457"/>
      <c r="D141" s="481">
        <v>1</v>
      </c>
      <c r="E141" s="483">
        <v>230</v>
      </c>
      <c r="F141" s="59">
        <f t="shared" si="1"/>
        <v>230</v>
      </c>
      <c r="G141" s="38"/>
    </row>
    <row r="142" spans="1:7" x14ac:dyDescent="0.25">
      <c r="A142" s="511" t="s">
        <v>471</v>
      </c>
      <c r="B142" s="464" t="s">
        <v>88</v>
      </c>
      <c r="C142" s="457"/>
      <c r="D142" s="481">
        <v>1</v>
      </c>
      <c r="E142" s="483">
        <v>1399</v>
      </c>
      <c r="F142" s="59">
        <f t="shared" si="1"/>
        <v>1399</v>
      </c>
      <c r="G142" s="38"/>
    </row>
    <row r="143" spans="1:7" x14ac:dyDescent="0.25">
      <c r="A143" s="511" t="s">
        <v>472</v>
      </c>
      <c r="B143" s="464" t="s">
        <v>88</v>
      </c>
      <c r="C143" s="457"/>
      <c r="D143" s="481">
        <v>1</v>
      </c>
      <c r="E143" s="483">
        <v>385</v>
      </c>
      <c r="F143" s="59">
        <f t="shared" si="1"/>
        <v>385</v>
      </c>
      <c r="G143" s="38"/>
    </row>
    <row r="144" spans="1:7" x14ac:dyDescent="0.25">
      <c r="A144" s="511" t="s">
        <v>417</v>
      </c>
      <c r="B144" s="464" t="s">
        <v>88</v>
      </c>
      <c r="C144" s="457"/>
      <c r="D144" s="481">
        <v>1</v>
      </c>
      <c r="E144" s="483">
        <v>167</v>
      </c>
      <c r="F144" s="59">
        <f t="shared" si="1"/>
        <v>167</v>
      </c>
      <c r="G144" s="38"/>
    </row>
    <row r="145" spans="1:7" x14ac:dyDescent="0.25">
      <c r="A145" s="511" t="s">
        <v>473</v>
      </c>
      <c r="B145" s="464" t="s">
        <v>88</v>
      </c>
      <c r="C145" s="457"/>
      <c r="D145" s="481">
        <v>2</v>
      </c>
      <c r="E145" s="483">
        <v>50</v>
      </c>
      <c r="F145" s="59">
        <f t="shared" si="1"/>
        <v>100</v>
      </c>
      <c r="G145" s="38"/>
    </row>
    <row r="146" spans="1:7" x14ac:dyDescent="0.25">
      <c r="A146" s="511" t="s">
        <v>474</v>
      </c>
      <c r="B146" s="464" t="s">
        <v>88</v>
      </c>
      <c r="C146" s="457"/>
      <c r="D146" s="481">
        <v>4</v>
      </c>
      <c r="E146" s="483">
        <v>150</v>
      </c>
      <c r="F146" s="59">
        <f t="shared" si="1"/>
        <v>600</v>
      </c>
      <c r="G146" s="38"/>
    </row>
    <row r="147" spans="1:7" x14ac:dyDescent="0.25">
      <c r="A147" s="511" t="s">
        <v>475</v>
      </c>
      <c r="B147" s="464" t="s">
        <v>88</v>
      </c>
      <c r="C147" s="457"/>
      <c r="D147" s="481">
        <v>1</v>
      </c>
      <c r="E147" s="483">
        <v>952</v>
      </c>
      <c r="F147" s="59">
        <f t="shared" si="1"/>
        <v>952</v>
      </c>
      <c r="G147" s="38"/>
    </row>
    <row r="148" spans="1:7" x14ac:dyDescent="0.25">
      <c r="A148" s="511" t="s">
        <v>476</v>
      </c>
      <c r="B148" s="464" t="s">
        <v>88</v>
      </c>
      <c r="C148" s="457"/>
      <c r="D148" s="481">
        <v>1</v>
      </c>
      <c r="E148" s="483">
        <v>117</v>
      </c>
      <c r="F148" s="59">
        <f t="shared" si="1"/>
        <v>117</v>
      </c>
      <c r="G148" s="38"/>
    </row>
    <row r="149" spans="1:7" x14ac:dyDescent="0.25">
      <c r="A149" s="511" t="s">
        <v>477</v>
      </c>
      <c r="B149" s="464" t="s">
        <v>88</v>
      </c>
      <c r="C149" s="457"/>
      <c r="D149" s="481">
        <v>1</v>
      </c>
      <c r="E149" s="483">
        <v>30</v>
      </c>
      <c r="F149" s="59">
        <f t="shared" si="1"/>
        <v>30</v>
      </c>
      <c r="G149" s="38"/>
    </row>
    <row r="150" spans="1:7" ht="25.5" x14ac:dyDescent="0.25">
      <c r="A150" s="511" t="s">
        <v>478</v>
      </c>
      <c r="B150" s="464" t="s">
        <v>88</v>
      </c>
      <c r="C150" s="457"/>
      <c r="D150" s="481">
        <v>1</v>
      </c>
      <c r="E150" s="483">
        <v>1789</v>
      </c>
      <c r="F150" s="59">
        <f t="shared" si="1"/>
        <v>1789</v>
      </c>
      <c r="G150" s="38"/>
    </row>
    <row r="151" spans="1:7" x14ac:dyDescent="0.25">
      <c r="A151" s="511" t="s">
        <v>479</v>
      </c>
      <c r="B151" s="464" t="s">
        <v>88</v>
      </c>
      <c r="C151" s="457"/>
      <c r="D151" s="481">
        <v>15</v>
      </c>
      <c r="E151" s="483">
        <v>6</v>
      </c>
      <c r="F151" s="59">
        <f t="shared" si="1"/>
        <v>90</v>
      </c>
      <c r="G151" s="38"/>
    </row>
    <row r="152" spans="1:7" x14ac:dyDescent="0.25">
      <c r="A152" s="511" t="s">
        <v>480</v>
      </c>
      <c r="B152" s="464" t="s">
        <v>88</v>
      </c>
      <c r="C152" s="457"/>
      <c r="D152" s="481">
        <v>2</v>
      </c>
      <c r="E152" s="483">
        <v>195</v>
      </c>
      <c r="F152" s="59">
        <f t="shared" si="1"/>
        <v>390</v>
      </c>
      <c r="G152" s="38"/>
    </row>
    <row r="153" spans="1:7" x14ac:dyDescent="0.25">
      <c r="A153" s="511" t="s">
        <v>481</v>
      </c>
      <c r="B153" s="464" t="s">
        <v>88</v>
      </c>
      <c r="C153" s="457"/>
      <c r="D153" s="481">
        <v>1</v>
      </c>
      <c r="E153" s="483">
        <v>570</v>
      </c>
      <c r="F153" s="59">
        <f t="shared" si="1"/>
        <v>570</v>
      </c>
      <c r="G153" s="38"/>
    </row>
    <row r="154" spans="1:7" x14ac:dyDescent="0.25">
      <c r="A154" s="511" t="s">
        <v>482</v>
      </c>
      <c r="B154" s="464" t="s">
        <v>88</v>
      </c>
      <c r="C154" s="457"/>
      <c r="D154" s="481">
        <v>1</v>
      </c>
      <c r="E154" s="483">
        <v>158</v>
      </c>
      <c r="F154" s="59">
        <f t="shared" si="1"/>
        <v>158</v>
      </c>
      <c r="G154" s="38"/>
    </row>
    <row r="155" spans="1:7" x14ac:dyDescent="0.25">
      <c r="A155" s="511" t="s">
        <v>482</v>
      </c>
      <c r="B155" s="464" t="s">
        <v>88</v>
      </c>
      <c r="C155" s="457"/>
      <c r="D155" s="481">
        <v>1</v>
      </c>
      <c r="E155" s="483">
        <v>158</v>
      </c>
      <c r="F155" s="59">
        <f t="shared" si="1"/>
        <v>158</v>
      </c>
      <c r="G155" s="38"/>
    </row>
    <row r="156" spans="1:7" x14ac:dyDescent="0.25">
      <c r="A156" s="511" t="s">
        <v>483</v>
      </c>
      <c r="B156" s="464" t="s">
        <v>88</v>
      </c>
      <c r="C156" s="457"/>
      <c r="D156" s="481">
        <v>1</v>
      </c>
      <c r="E156" s="483">
        <v>26</v>
      </c>
      <c r="F156" s="59">
        <f t="shared" si="1"/>
        <v>26</v>
      </c>
      <c r="G156" s="38"/>
    </row>
    <row r="157" spans="1:7" x14ac:dyDescent="0.25">
      <c r="A157" s="477" t="s">
        <v>484</v>
      </c>
      <c r="B157" s="464" t="s">
        <v>88</v>
      </c>
      <c r="C157" s="457"/>
      <c r="D157" s="482">
        <v>1</v>
      </c>
      <c r="E157" s="482">
        <v>3000</v>
      </c>
      <c r="F157" s="59">
        <f t="shared" si="1"/>
        <v>3000</v>
      </c>
      <c r="G157" s="38"/>
    </row>
    <row r="158" spans="1:7" x14ac:dyDescent="0.25">
      <c r="A158" s="476" t="s">
        <v>485</v>
      </c>
      <c r="B158" s="464" t="s">
        <v>88</v>
      </c>
      <c r="C158" s="457"/>
      <c r="D158" s="480">
        <v>1</v>
      </c>
      <c r="E158" s="480">
        <v>2500</v>
      </c>
      <c r="F158" s="59">
        <f t="shared" si="1"/>
        <v>2500</v>
      </c>
      <c r="G158" s="38"/>
    </row>
    <row r="159" spans="1:7" x14ac:dyDescent="0.25">
      <c r="A159" s="476" t="s">
        <v>486</v>
      </c>
      <c r="B159" s="464" t="s">
        <v>88</v>
      </c>
      <c r="C159" s="457"/>
      <c r="D159" s="480">
        <v>1</v>
      </c>
      <c r="E159" s="480">
        <v>2000</v>
      </c>
      <c r="F159" s="59">
        <f t="shared" si="1"/>
        <v>2000</v>
      </c>
      <c r="G159" s="38"/>
    </row>
    <row r="160" spans="1:7" x14ac:dyDescent="0.25">
      <c r="A160" s="476" t="s">
        <v>487</v>
      </c>
      <c r="B160" s="464" t="s">
        <v>88</v>
      </c>
      <c r="C160" s="457"/>
      <c r="D160" s="480">
        <v>10</v>
      </c>
      <c r="E160" s="480">
        <v>650</v>
      </c>
      <c r="F160" s="59">
        <f t="shared" si="1"/>
        <v>6500</v>
      </c>
      <c r="G160" s="38"/>
    </row>
    <row r="161" spans="1:7" x14ac:dyDescent="0.25">
      <c r="A161" s="476" t="s">
        <v>488</v>
      </c>
      <c r="B161" s="464" t="s">
        <v>88</v>
      </c>
      <c r="C161" s="457"/>
      <c r="D161" s="480">
        <v>6</v>
      </c>
      <c r="E161" s="480">
        <v>800</v>
      </c>
      <c r="F161" s="59">
        <f t="shared" si="1"/>
        <v>4800</v>
      </c>
      <c r="G161" s="38"/>
    </row>
    <row r="162" spans="1:7" x14ac:dyDescent="0.25">
      <c r="A162" s="478" t="s">
        <v>489</v>
      </c>
      <c r="B162" s="464" t="s">
        <v>88</v>
      </c>
      <c r="C162" s="457"/>
      <c r="D162" s="458">
        <v>4</v>
      </c>
      <c r="E162" s="484">
        <v>40.01</v>
      </c>
      <c r="F162" s="59">
        <f t="shared" si="1"/>
        <v>160.04</v>
      </c>
      <c r="G162" s="38"/>
    </row>
    <row r="163" spans="1:7" ht="38.25" x14ac:dyDescent="0.25">
      <c r="A163" s="512" t="s">
        <v>490</v>
      </c>
      <c r="B163" s="464" t="s">
        <v>88</v>
      </c>
      <c r="C163" s="457"/>
      <c r="D163" s="463">
        <v>1</v>
      </c>
      <c r="E163" s="485">
        <v>91555</v>
      </c>
      <c r="F163" s="59">
        <f t="shared" si="1"/>
        <v>91555</v>
      </c>
      <c r="G163" s="38"/>
    </row>
    <row r="164" spans="1:7" x14ac:dyDescent="0.25">
      <c r="A164" s="512" t="s">
        <v>491</v>
      </c>
      <c r="B164" s="464" t="s">
        <v>88</v>
      </c>
      <c r="C164" s="457"/>
      <c r="D164" s="463">
        <v>20</v>
      </c>
      <c r="E164" s="485">
        <v>365</v>
      </c>
      <c r="F164" s="59">
        <f t="shared" si="1"/>
        <v>7300</v>
      </c>
      <c r="G164" s="38"/>
    </row>
    <row r="165" spans="1:7" x14ac:dyDescent="0.25">
      <c r="A165" s="512" t="s">
        <v>492</v>
      </c>
      <c r="B165" s="464" t="s">
        <v>88</v>
      </c>
      <c r="C165" s="457"/>
      <c r="D165" s="463">
        <v>6</v>
      </c>
      <c r="E165" s="485">
        <v>250</v>
      </c>
      <c r="F165" s="59">
        <f t="shared" si="1"/>
        <v>1500</v>
      </c>
      <c r="G165" s="38"/>
    </row>
    <row r="166" spans="1:7" x14ac:dyDescent="0.25">
      <c r="A166" s="512" t="s">
        <v>493</v>
      </c>
      <c r="B166" s="464" t="s">
        <v>88</v>
      </c>
      <c r="C166" s="457"/>
      <c r="D166" s="463">
        <v>1</v>
      </c>
      <c r="E166" s="485">
        <v>2200</v>
      </c>
      <c r="F166" s="59">
        <f t="shared" si="1"/>
        <v>2200</v>
      </c>
      <c r="G166" s="38"/>
    </row>
    <row r="167" spans="1:7" x14ac:dyDescent="0.25">
      <c r="A167" s="512" t="s">
        <v>494</v>
      </c>
      <c r="B167" s="464" t="s">
        <v>88</v>
      </c>
      <c r="C167" s="457"/>
      <c r="D167" s="463">
        <v>4</v>
      </c>
      <c r="E167" s="485">
        <v>900</v>
      </c>
      <c r="F167" s="59">
        <f t="shared" si="1"/>
        <v>3600</v>
      </c>
      <c r="G167" s="38"/>
    </row>
    <row r="168" spans="1:7" x14ac:dyDescent="0.25">
      <c r="A168" s="512" t="s">
        <v>495</v>
      </c>
      <c r="B168" s="464" t="s">
        <v>88</v>
      </c>
      <c r="C168" s="457"/>
      <c r="D168" s="463">
        <v>1</v>
      </c>
      <c r="E168" s="485">
        <v>400</v>
      </c>
      <c r="F168" s="59">
        <f t="shared" si="1"/>
        <v>400</v>
      </c>
      <c r="G168" s="38"/>
    </row>
    <row r="169" spans="1:7" x14ac:dyDescent="0.25">
      <c r="A169" s="512" t="s">
        <v>496</v>
      </c>
      <c r="B169" s="464" t="s">
        <v>88</v>
      </c>
      <c r="C169" s="457"/>
      <c r="D169" s="463">
        <v>2</v>
      </c>
      <c r="E169" s="485">
        <v>500</v>
      </c>
      <c r="F169" s="59">
        <f t="shared" si="1"/>
        <v>1000</v>
      </c>
      <c r="G169" s="38"/>
    </row>
    <row r="170" spans="1:7" x14ac:dyDescent="0.25">
      <c r="A170" s="512" t="s">
        <v>497</v>
      </c>
      <c r="B170" s="464" t="s">
        <v>88</v>
      </c>
      <c r="C170" s="457"/>
      <c r="D170" s="463">
        <v>10</v>
      </c>
      <c r="E170" s="485">
        <v>50</v>
      </c>
      <c r="F170" s="59">
        <f t="shared" si="1"/>
        <v>500</v>
      </c>
      <c r="G170" s="38"/>
    </row>
    <row r="171" spans="1:7" x14ac:dyDescent="0.25">
      <c r="A171" s="512" t="s">
        <v>498</v>
      </c>
      <c r="B171" s="464" t="s">
        <v>88</v>
      </c>
      <c r="C171" s="457"/>
      <c r="D171" s="463">
        <v>10</v>
      </c>
      <c r="E171" s="485">
        <v>150</v>
      </c>
      <c r="F171" s="59">
        <f t="shared" si="1"/>
        <v>1500</v>
      </c>
      <c r="G171" s="38"/>
    </row>
    <row r="172" spans="1:7" x14ac:dyDescent="0.25">
      <c r="A172" s="512" t="s">
        <v>499</v>
      </c>
      <c r="B172" s="464" t="s">
        <v>88</v>
      </c>
      <c r="C172" s="457"/>
      <c r="D172" s="463">
        <v>1</v>
      </c>
      <c r="E172" s="485">
        <v>350</v>
      </c>
      <c r="F172" s="59">
        <f t="shared" si="1"/>
        <v>350</v>
      </c>
      <c r="G172" s="38"/>
    </row>
    <row r="173" spans="1:7" x14ac:dyDescent="0.25">
      <c r="A173" s="512" t="s">
        <v>500</v>
      </c>
      <c r="B173" s="464" t="s">
        <v>88</v>
      </c>
      <c r="C173" s="457"/>
      <c r="D173" s="463">
        <v>2</v>
      </c>
      <c r="E173" s="485">
        <v>200</v>
      </c>
      <c r="F173" s="59">
        <f t="shared" si="1"/>
        <v>400</v>
      </c>
      <c r="G173" s="38"/>
    </row>
    <row r="174" spans="1:7" x14ac:dyDescent="0.25">
      <c r="A174" s="512" t="s">
        <v>501</v>
      </c>
      <c r="B174" s="464" t="s">
        <v>88</v>
      </c>
      <c r="C174" s="457"/>
      <c r="D174" s="463">
        <v>50</v>
      </c>
      <c r="E174" s="485">
        <v>213</v>
      </c>
      <c r="F174" s="59">
        <f t="shared" si="1"/>
        <v>10650</v>
      </c>
      <c r="G174" s="38"/>
    </row>
    <row r="175" spans="1:7" x14ac:dyDescent="0.25">
      <c r="A175" s="512" t="s">
        <v>502</v>
      </c>
      <c r="B175" s="464" t="s">
        <v>88</v>
      </c>
      <c r="C175" s="457"/>
      <c r="D175" s="463">
        <v>4</v>
      </c>
      <c r="E175" s="485">
        <v>150</v>
      </c>
      <c r="F175" s="59">
        <f t="shared" si="1"/>
        <v>600</v>
      </c>
      <c r="G175" s="38"/>
    </row>
    <row r="176" spans="1:7" x14ac:dyDescent="0.25">
      <c r="A176" s="512" t="s">
        <v>503</v>
      </c>
      <c r="B176" s="464" t="s">
        <v>88</v>
      </c>
      <c r="C176" s="457"/>
      <c r="D176" s="463">
        <v>23</v>
      </c>
      <c r="E176" s="485">
        <v>515</v>
      </c>
      <c r="F176" s="59">
        <f t="shared" si="1"/>
        <v>11845</v>
      </c>
      <c r="G176" s="38"/>
    </row>
    <row r="177" spans="1:9" x14ac:dyDescent="0.25">
      <c r="A177" s="512" t="s">
        <v>504</v>
      </c>
      <c r="B177" s="464" t="s">
        <v>88</v>
      </c>
      <c r="C177" s="457"/>
      <c r="D177" s="463">
        <v>8</v>
      </c>
      <c r="E177" s="485">
        <v>200</v>
      </c>
      <c r="F177" s="59">
        <f t="shared" si="1"/>
        <v>1600</v>
      </c>
      <c r="G177" s="38"/>
    </row>
    <row r="178" spans="1:9" x14ac:dyDescent="0.25">
      <c r="A178" s="512" t="s">
        <v>505</v>
      </c>
      <c r="B178" s="464" t="s">
        <v>88</v>
      </c>
      <c r="C178" s="457"/>
      <c r="D178" s="463">
        <v>25</v>
      </c>
      <c r="E178" s="485">
        <v>600</v>
      </c>
      <c r="F178" s="59">
        <f t="shared" si="1"/>
        <v>15000</v>
      </c>
      <c r="G178" s="38"/>
    </row>
    <row r="179" spans="1:9" x14ac:dyDescent="0.25">
      <c r="A179" s="341"/>
      <c r="B179" s="301"/>
      <c r="C179" s="60"/>
      <c r="D179" s="315"/>
      <c r="E179" s="345"/>
      <c r="F179" s="439">
        <f>SUM(F63:F178)</f>
        <v>297000</v>
      </c>
      <c r="G179" s="38"/>
    </row>
    <row r="180" spans="1:9" x14ac:dyDescent="0.25">
      <c r="E180" s="39"/>
    </row>
    <row r="181" spans="1:9" ht="21.75" customHeight="1" x14ac:dyDescent="0.25">
      <c r="A181" s="614" t="str">
        <f>'патриотика0,31'!A123</f>
        <v xml:space="preserve">Затраты на оплату труда работников, непосредственно НЕ связанных с выполнением работы </v>
      </c>
      <c r="B181" s="614"/>
      <c r="C181" s="614"/>
      <c r="D181" s="614"/>
      <c r="E181" s="614"/>
      <c r="F181" s="614"/>
    </row>
    <row r="182" spans="1:9" x14ac:dyDescent="0.25">
      <c r="A182" s="47"/>
      <c r="B182" s="47"/>
      <c r="C182" s="47"/>
      <c r="D182" s="47"/>
      <c r="E182" s="47"/>
      <c r="F182" s="48">
        <f>D49</f>
        <v>0.41</v>
      </c>
    </row>
    <row r="183" spans="1:9" ht="63" customHeight="1" x14ac:dyDescent="0.25">
      <c r="A183" s="627" t="s">
        <v>0</v>
      </c>
      <c r="B183" s="576" t="s">
        <v>1</v>
      </c>
      <c r="C183" s="297"/>
      <c r="D183" s="576" t="s">
        <v>2</v>
      </c>
      <c r="E183" s="584" t="s">
        <v>3</v>
      </c>
      <c r="F183" s="585"/>
      <c r="G183" s="591" t="s">
        <v>35</v>
      </c>
      <c r="H183" s="297" t="s">
        <v>5</v>
      </c>
      <c r="I183" s="576" t="s">
        <v>6</v>
      </c>
    </row>
    <row r="184" spans="1:9" ht="29.25" customHeight="1" x14ac:dyDescent="0.25">
      <c r="A184" s="629"/>
      <c r="B184" s="576"/>
      <c r="C184" s="297"/>
      <c r="D184" s="576"/>
      <c r="E184" s="297" t="s">
        <v>230</v>
      </c>
      <c r="F184" s="297" t="s">
        <v>239</v>
      </c>
      <c r="G184" s="591"/>
      <c r="H184" s="297" t="s">
        <v>53</v>
      </c>
      <c r="I184" s="576"/>
    </row>
    <row r="185" spans="1:9" x14ac:dyDescent="0.25">
      <c r="A185" s="628"/>
      <c r="B185" s="576"/>
      <c r="C185" s="297"/>
      <c r="D185" s="576"/>
      <c r="E185" s="297" t="s">
        <v>4</v>
      </c>
      <c r="F185" s="53"/>
      <c r="G185" s="591"/>
      <c r="H185" s="297" t="s">
        <v>231</v>
      </c>
      <c r="I185" s="576"/>
    </row>
    <row r="186" spans="1:9" x14ac:dyDescent="0.25">
      <c r="A186" s="627">
        <v>1</v>
      </c>
      <c r="B186" s="576">
        <v>2</v>
      </c>
      <c r="C186" s="297"/>
      <c r="D186" s="576">
        <v>3</v>
      </c>
      <c r="E186" s="576" t="s">
        <v>229</v>
      </c>
      <c r="F186" s="576">
        <v>5</v>
      </c>
      <c r="G186" s="591" t="s">
        <v>7</v>
      </c>
      <c r="H186" s="297" t="s">
        <v>54</v>
      </c>
      <c r="I186" s="576" t="s">
        <v>55</v>
      </c>
    </row>
    <row r="187" spans="1:9" x14ac:dyDescent="0.25">
      <c r="A187" s="628"/>
      <c r="B187" s="576"/>
      <c r="C187" s="297"/>
      <c r="D187" s="576"/>
      <c r="E187" s="576"/>
      <c r="F187" s="576"/>
      <c r="G187" s="591"/>
      <c r="H187" s="54">
        <v>1780.6</v>
      </c>
      <c r="I187" s="576"/>
    </row>
    <row r="188" spans="1:9" x14ac:dyDescent="0.25">
      <c r="A188" s="347" t="s">
        <v>193</v>
      </c>
      <c r="B188" s="88">
        <v>73188.34</v>
      </c>
      <c r="C188" s="88"/>
      <c r="D188" s="297">
        <f>1*F182</f>
        <v>0.41</v>
      </c>
      <c r="E188" s="56">
        <f>D188*1780.6</f>
        <v>730.04599999999994</v>
      </c>
      <c r="F188" s="57">
        <v>1</v>
      </c>
      <c r="G188" s="58">
        <f>E188/F188</f>
        <v>730.04599999999994</v>
      </c>
      <c r="H188" s="56">
        <f>B188*1.302/1780.6*12</f>
        <v>642.19623955969905</v>
      </c>
      <c r="I188" s="56">
        <f>G188*H188</f>
        <v>468832.79590560001</v>
      </c>
    </row>
    <row r="189" spans="1:9" x14ac:dyDescent="0.25">
      <c r="A189" s="346" t="s">
        <v>145</v>
      </c>
      <c r="B189" s="37">
        <v>27899</v>
      </c>
      <c r="C189" s="173"/>
      <c r="D189" s="297">
        <f>1*F182</f>
        <v>0.41</v>
      </c>
      <c r="E189" s="56">
        <f t="shared" ref="E189:E191" si="2">D189*1780.6</f>
        <v>730.04599999999994</v>
      </c>
      <c r="F189" s="57">
        <v>1</v>
      </c>
      <c r="G189" s="58">
        <f t="shared" ref="G189:G191" si="3">E189/F189</f>
        <v>730.04599999999994</v>
      </c>
      <c r="H189" s="56">
        <f t="shared" ref="H189:H191" si="4">B189*1.302/1780.6*12</f>
        <v>244.80173873975065</v>
      </c>
      <c r="I189" s="56">
        <f>G189*H189</f>
        <v>178716.53015999999</v>
      </c>
    </row>
    <row r="190" spans="1:9" x14ac:dyDescent="0.25">
      <c r="A190" s="346" t="s">
        <v>91</v>
      </c>
      <c r="B190" s="58">
        <v>27899</v>
      </c>
      <c r="C190" s="58"/>
      <c r="D190" s="297">
        <f>0.5*F182</f>
        <v>0.20499999999999999</v>
      </c>
      <c r="E190" s="56">
        <f t="shared" si="2"/>
        <v>365.02299999999997</v>
      </c>
      <c r="F190" s="57">
        <v>1</v>
      </c>
      <c r="G190" s="58">
        <f t="shared" si="3"/>
        <v>365.02299999999997</v>
      </c>
      <c r="H190" s="56">
        <f t="shared" si="4"/>
        <v>244.80173873975065</v>
      </c>
      <c r="I190" s="56">
        <f>G190*H190</f>
        <v>89358.265079999997</v>
      </c>
    </row>
    <row r="191" spans="1:9" x14ac:dyDescent="0.25">
      <c r="A191" s="348" t="s">
        <v>146</v>
      </c>
      <c r="B191" s="37">
        <v>27899</v>
      </c>
      <c r="C191" s="299"/>
      <c r="D191" s="297">
        <f>1*F182</f>
        <v>0.41</v>
      </c>
      <c r="E191" s="56">
        <f t="shared" si="2"/>
        <v>730.04599999999994</v>
      </c>
      <c r="F191" s="57">
        <v>1</v>
      </c>
      <c r="G191" s="58">
        <f t="shared" si="3"/>
        <v>730.04599999999994</v>
      </c>
      <c r="H191" s="56">
        <f t="shared" si="4"/>
        <v>244.80173873975065</v>
      </c>
      <c r="I191" s="56">
        <f>G191*H191</f>
        <v>178716.53015999999</v>
      </c>
    </row>
    <row r="192" spans="1:9" ht="15" customHeight="1" x14ac:dyDescent="0.25">
      <c r="A192" s="602" t="s">
        <v>28</v>
      </c>
      <c r="B192" s="603"/>
      <c r="C192" s="603"/>
      <c r="D192" s="603"/>
      <c r="E192" s="603"/>
      <c r="F192" s="604"/>
      <c r="G192" s="293"/>
      <c r="H192" s="293"/>
      <c r="I192" s="349">
        <f>SUM(I188:I191)</f>
        <v>915624.12130560004</v>
      </c>
    </row>
    <row r="193" spans="1:9" x14ac:dyDescent="0.25">
      <c r="A193" s="154"/>
      <c r="B193" s="154"/>
      <c r="C193" s="154"/>
      <c r="D193" s="154"/>
      <c r="E193" s="154"/>
      <c r="F193" s="154"/>
      <c r="G193" s="177"/>
    </row>
    <row r="194" spans="1:9" ht="14.45" customHeight="1" x14ac:dyDescent="0.25">
      <c r="A194" s="593" t="s">
        <v>170</v>
      </c>
      <c r="B194" s="593"/>
      <c r="C194" s="593"/>
      <c r="D194" s="593"/>
      <c r="E194" s="593"/>
      <c r="F194" s="593"/>
      <c r="G194" s="598"/>
      <c r="H194" s="598"/>
      <c r="I194" s="153"/>
    </row>
    <row r="195" spans="1:9" ht="15" customHeight="1" x14ac:dyDescent="0.25">
      <c r="A195" s="594" t="s">
        <v>62</v>
      </c>
      <c r="B195" s="597" t="s">
        <v>159</v>
      </c>
      <c r="C195" s="597"/>
      <c r="D195" s="623" t="s">
        <v>163</v>
      </c>
      <c r="E195" s="594" t="s">
        <v>169</v>
      </c>
      <c r="F195" s="626" t="s">
        <v>6</v>
      </c>
      <c r="G195" s="213"/>
      <c r="H195" s="213"/>
    </row>
    <row r="196" spans="1:9" ht="15" customHeight="1" x14ac:dyDescent="0.25">
      <c r="A196" s="595"/>
      <c r="B196" s="597"/>
      <c r="C196" s="597"/>
      <c r="D196" s="624"/>
      <c r="E196" s="595"/>
      <c r="F196" s="626"/>
      <c r="G196" s="176"/>
      <c r="H196" s="176"/>
    </row>
    <row r="197" spans="1:9" x14ac:dyDescent="0.25">
      <c r="A197" s="596"/>
      <c r="B197" s="597"/>
      <c r="C197" s="597"/>
      <c r="D197" s="625"/>
      <c r="E197" s="596"/>
      <c r="F197" s="626"/>
      <c r="G197" s="38"/>
    </row>
    <row r="198" spans="1:9" x14ac:dyDescent="0.25">
      <c r="A198" s="462">
        <v>1</v>
      </c>
      <c r="B198" s="599">
        <v>2</v>
      </c>
      <c r="C198" s="600"/>
      <c r="D198" s="462">
        <v>5</v>
      </c>
      <c r="E198" s="178">
        <v>6</v>
      </c>
      <c r="F198" s="178">
        <v>7</v>
      </c>
      <c r="G198" s="38"/>
    </row>
    <row r="199" spans="1:9" x14ac:dyDescent="0.25">
      <c r="A199" s="347" t="s">
        <v>193</v>
      </c>
      <c r="B199" s="459">
        <v>0.41</v>
      </c>
      <c r="C199" s="460">
        <v>1</v>
      </c>
      <c r="D199" s="152">
        <v>585.5</v>
      </c>
      <c r="E199" s="179">
        <f>D199*30.2%</f>
        <v>176.821</v>
      </c>
      <c r="F199" s="179">
        <f>D199+E199</f>
        <v>762.32100000000003</v>
      </c>
      <c r="G199" s="38"/>
    </row>
    <row r="200" spans="1:9" x14ac:dyDescent="0.25">
      <c r="A200" s="461"/>
      <c r="B200" s="601">
        <f>B199</f>
        <v>0.41</v>
      </c>
      <c r="C200" s="601"/>
      <c r="D200" s="129">
        <f>SUM(D199:D199)</f>
        <v>585.5</v>
      </c>
      <c r="E200" s="129">
        <f>SUM(E199:E199)</f>
        <v>176.821</v>
      </c>
      <c r="F200" s="129"/>
      <c r="G200" s="38"/>
    </row>
    <row r="201" spans="1:9" x14ac:dyDescent="0.25">
      <c r="A201" s="154"/>
      <c r="B201" s="154"/>
      <c r="C201" s="154"/>
      <c r="D201" s="154"/>
      <c r="E201" s="154"/>
      <c r="F201" s="154"/>
      <c r="G201" s="177"/>
    </row>
    <row r="202" spans="1:9" x14ac:dyDescent="0.25">
      <c r="A202" s="154"/>
      <c r="B202" s="154"/>
      <c r="C202" s="154"/>
      <c r="D202" s="154"/>
      <c r="E202" s="154"/>
      <c r="F202" s="154"/>
      <c r="G202" s="177"/>
    </row>
    <row r="203" spans="1:9" s="45" customFormat="1" ht="14.45" customHeight="1" x14ac:dyDescent="0.25">
      <c r="A203" s="598" t="s">
        <v>246</v>
      </c>
      <c r="B203" s="598"/>
      <c r="C203" s="598"/>
      <c r="D203" s="598"/>
      <c r="E203" s="598"/>
      <c r="F203" s="598"/>
      <c r="G203" s="598"/>
      <c r="H203" s="598"/>
    </row>
    <row r="204" spans="1:9" s="45" customFormat="1" ht="14.45" customHeight="1" x14ac:dyDescent="0.25">
      <c r="A204" s="594" t="s">
        <v>62</v>
      </c>
      <c r="B204" s="631" t="s">
        <v>159</v>
      </c>
      <c r="C204" s="632"/>
      <c r="D204" s="612"/>
      <c r="E204" s="637"/>
      <c r="F204" s="613"/>
      <c r="G204" s="213"/>
      <c r="H204" s="213"/>
    </row>
    <row r="205" spans="1:9" s="45" customFormat="1" ht="14.45" customHeight="1" x14ac:dyDescent="0.25">
      <c r="A205" s="595"/>
      <c r="B205" s="633"/>
      <c r="C205" s="634"/>
      <c r="D205" s="624" t="s">
        <v>163</v>
      </c>
      <c r="E205" s="595" t="s">
        <v>169</v>
      </c>
      <c r="F205" s="595" t="s">
        <v>6</v>
      </c>
    </row>
    <row r="206" spans="1:9" s="45" customFormat="1" x14ac:dyDescent="0.25">
      <c r="A206" s="596"/>
      <c r="B206" s="635"/>
      <c r="C206" s="636"/>
      <c r="D206" s="625"/>
      <c r="E206" s="596"/>
      <c r="F206" s="596"/>
    </row>
    <row r="207" spans="1:9" s="45" customFormat="1" x14ac:dyDescent="0.25">
      <c r="A207" s="287">
        <v>1</v>
      </c>
      <c r="B207" s="599">
        <v>2</v>
      </c>
      <c r="C207" s="600"/>
      <c r="D207" s="287">
        <v>5</v>
      </c>
      <c r="E207" s="287">
        <v>6</v>
      </c>
      <c r="F207" s="287">
        <v>7</v>
      </c>
    </row>
    <row r="208" spans="1:9" s="45" customFormat="1" x14ac:dyDescent="0.25">
      <c r="A208" s="285" t="s">
        <v>166</v>
      </c>
      <c r="B208" s="287">
        <f>D189</f>
        <v>0.41</v>
      </c>
      <c r="C208" s="286"/>
      <c r="D208" s="152">
        <v>6675.88</v>
      </c>
      <c r="E208" s="185">
        <f t="shared" ref="E208:E210" si="5">D208*30.2%</f>
        <v>2016.1157599999999</v>
      </c>
      <c r="F208" s="185">
        <f>D208+E208</f>
        <v>8691.9957599999998</v>
      </c>
    </row>
    <row r="209" spans="1:7" s="45" customFormat="1" x14ac:dyDescent="0.25">
      <c r="A209" s="285" t="s">
        <v>167</v>
      </c>
      <c r="B209" s="287">
        <f>D190</f>
        <v>0.20499999999999999</v>
      </c>
      <c r="C209" s="286"/>
      <c r="D209" s="152">
        <v>3337.94</v>
      </c>
      <c r="E209" s="185">
        <f t="shared" si="5"/>
        <v>1008.05788</v>
      </c>
      <c r="F209" s="185">
        <f t="shared" ref="F209:F210" si="6">D209+E209</f>
        <v>4345.9978799999999</v>
      </c>
    </row>
    <row r="210" spans="1:7" s="45" customFormat="1" x14ac:dyDescent="0.25">
      <c r="A210" s="285" t="s">
        <v>146</v>
      </c>
      <c r="B210" s="287">
        <f>D191</f>
        <v>0.41</v>
      </c>
      <c r="C210" s="286"/>
      <c r="D210" s="152">
        <v>6675.89</v>
      </c>
      <c r="E210" s="185">
        <f t="shared" si="5"/>
        <v>2016.11878</v>
      </c>
      <c r="F210" s="185">
        <f t="shared" si="6"/>
        <v>8692.0087800000001</v>
      </c>
    </row>
    <row r="211" spans="1:7" s="45" customFormat="1" x14ac:dyDescent="0.25">
      <c r="A211" s="155"/>
      <c r="B211" s="284"/>
      <c r="C211" s="156"/>
      <c r="D211" s="129">
        <f>SUM(D208:D210)</f>
        <v>16689.71</v>
      </c>
      <c r="E211" s="129">
        <f>SUM(E208:E210)</f>
        <v>5040.2924199999998</v>
      </c>
      <c r="F211" s="263">
        <f>SUM(F208:F210)</f>
        <v>21730.002420000001</v>
      </c>
    </row>
    <row r="212" spans="1:7" x14ac:dyDescent="0.25">
      <c r="A212" s="154"/>
      <c r="B212" s="154"/>
      <c r="C212" s="154"/>
      <c r="D212" s="154"/>
      <c r="E212" s="154"/>
      <c r="F212" s="154"/>
      <c r="G212" s="177"/>
    </row>
    <row r="213" spans="1:7" x14ac:dyDescent="0.25">
      <c r="A213" s="638" t="s">
        <v>114</v>
      </c>
      <c r="B213" s="638"/>
      <c r="C213" s="638"/>
      <c r="D213" s="638"/>
      <c r="E213" s="638"/>
      <c r="F213" s="638"/>
    </row>
    <row r="214" spans="1:7" ht="38.25" x14ac:dyDescent="0.25">
      <c r="A214" s="285" t="s">
        <v>115</v>
      </c>
      <c r="B214" s="287" t="s">
        <v>116</v>
      </c>
      <c r="C214" s="307"/>
      <c r="D214" s="287" t="s">
        <v>120</v>
      </c>
      <c r="E214" s="287" t="s">
        <v>117</v>
      </c>
      <c r="F214" s="287" t="s">
        <v>118</v>
      </c>
      <c r="G214" s="300" t="s">
        <v>6</v>
      </c>
    </row>
    <row r="215" spans="1:7" x14ac:dyDescent="0.25">
      <c r="A215" s="285">
        <v>1</v>
      </c>
      <c r="B215" s="287">
        <v>2</v>
      </c>
      <c r="C215" s="307"/>
      <c r="D215" s="287">
        <v>3</v>
      </c>
      <c r="E215" s="287">
        <v>4</v>
      </c>
      <c r="F215" s="287">
        <v>5</v>
      </c>
      <c r="G215" s="264" t="s">
        <v>241</v>
      </c>
    </row>
    <row r="216" spans="1:7" x14ac:dyDescent="0.25">
      <c r="A216" s="287" t="s">
        <v>119</v>
      </c>
      <c r="B216" s="287">
        <v>3</v>
      </c>
      <c r="C216" s="287"/>
      <c r="D216" s="287">
        <v>12</v>
      </c>
      <c r="E216" s="287">
        <v>75</v>
      </c>
      <c r="F216" s="113">
        <f>B216*D216*E216</f>
        <v>2700</v>
      </c>
      <c r="G216" s="90">
        <f>F216*F182</f>
        <v>1107</v>
      </c>
    </row>
    <row r="217" spans="1:7" ht="14.45" customHeight="1" x14ac:dyDescent="0.25">
      <c r="A217" s="128"/>
      <c r="B217" s="128"/>
      <c r="C217" s="128"/>
      <c r="D217" s="128"/>
      <c r="E217" s="284" t="s">
        <v>92</v>
      </c>
      <c r="F217" s="129"/>
      <c r="G217" s="442">
        <f>G216</f>
        <v>1107</v>
      </c>
    </row>
    <row r="218" spans="1:7" x14ac:dyDescent="0.25">
      <c r="A218" s="50"/>
      <c r="B218" s="49"/>
      <c r="C218" s="49"/>
      <c r="D218" s="49"/>
      <c r="E218" s="49"/>
      <c r="F218" s="49"/>
    </row>
    <row r="219" spans="1:7" ht="15.75" x14ac:dyDescent="0.25">
      <c r="A219" s="630" t="s">
        <v>12</v>
      </c>
      <c r="B219" s="630"/>
      <c r="C219" s="630"/>
      <c r="D219" s="630"/>
      <c r="E219" s="630"/>
      <c r="F219" s="630"/>
    </row>
    <row r="220" spans="1:7" x14ac:dyDescent="0.25">
      <c r="A220" s="639"/>
      <c r="B220" s="639"/>
      <c r="C220" s="639"/>
      <c r="D220" s="639"/>
      <c r="E220" s="639"/>
      <c r="F220" s="49"/>
    </row>
    <row r="221" spans="1:7" x14ac:dyDescent="0.25">
      <c r="A221" s="49"/>
      <c r="B221" s="49"/>
      <c r="C221" s="49"/>
      <c r="D221" s="49"/>
      <c r="E221" s="49"/>
      <c r="F221" s="51">
        <f>F182</f>
        <v>0.41</v>
      </c>
    </row>
    <row r="222" spans="1:7" x14ac:dyDescent="0.25">
      <c r="A222" s="579" t="s">
        <v>13</v>
      </c>
      <c r="B222" s="579" t="s">
        <v>11</v>
      </c>
      <c r="C222" s="303"/>
      <c r="D222" s="579" t="s">
        <v>14</v>
      </c>
      <c r="E222" s="579" t="s">
        <v>15</v>
      </c>
      <c r="F222" s="579" t="s">
        <v>6</v>
      </c>
    </row>
    <row r="223" spans="1:7" x14ac:dyDescent="0.25">
      <c r="A223" s="579"/>
      <c r="B223" s="579"/>
      <c r="C223" s="303"/>
      <c r="D223" s="579"/>
      <c r="E223" s="579"/>
      <c r="F223" s="579"/>
    </row>
    <row r="224" spans="1:7" x14ac:dyDescent="0.25">
      <c r="A224" s="303">
        <v>1</v>
      </c>
      <c r="B224" s="303">
        <v>2</v>
      </c>
      <c r="C224" s="303"/>
      <c r="D224" s="303">
        <v>3</v>
      </c>
      <c r="E224" s="303">
        <v>4</v>
      </c>
      <c r="F224" s="303" t="s">
        <v>93</v>
      </c>
    </row>
    <row r="225" spans="1:7" ht="15.75" x14ac:dyDescent="0.25">
      <c r="A225" s="285" t="str">
        <f>'патриотика0,31'!A169</f>
        <v>Теплоэнергия</v>
      </c>
      <c r="B225" s="321" t="s">
        <v>18</v>
      </c>
      <c r="C225" s="287"/>
      <c r="D225" s="287">
        <f>F221*55</f>
        <v>22.549999999999997</v>
      </c>
      <c r="E225" s="113">
        <f>'патриотика0,31'!E169</f>
        <v>3245.16</v>
      </c>
      <c r="F225" s="58">
        <f>D225*E225+19.81</f>
        <v>73198.167999999991</v>
      </c>
    </row>
    <row r="226" spans="1:7" ht="18.75" x14ac:dyDescent="0.25">
      <c r="A226" s="285" t="str">
        <f>'патриотика0,31'!A170</f>
        <v xml:space="preserve">Водоснабжение </v>
      </c>
      <c r="B226" s="321" t="s">
        <v>199</v>
      </c>
      <c r="C226" s="287"/>
      <c r="D226" s="287">
        <f>F221*106.3</f>
        <v>43.582999999999998</v>
      </c>
      <c r="E226" s="113">
        <f>'патриотика0,31'!E170</f>
        <v>46.7</v>
      </c>
      <c r="F226" s="58">
        <f t="shared" ref="F226:F229" si="7">D226*E226</f>
        <v>2035.3261</v>
      </c>
    </row>
    <row r="227" spans="1:7" ht="18.75" x14ac:dyDescent="0.25">
      <c r="A227" s="285" t="str">
        <f>'патриотика0,31'!A171</f>
        <v>Водоотведение (септик)</v>
      </c>
      <c r="B227" s="321" t="s">
        <v>56</v>
      </c>
      <c r="C227" s="287"/>
      <c r="D227" s="287">
        <f>F221*6</f>
        <v>2.46</v>
      </c>
      <c r="E227" s="113">
        <f>'патриотика0,31'!E171</f>
        <v>9000</v>
      </c>
      <c r="F227" s="58">
        <f t="shared" si="7"/>
        <v>22140</v>
      </c>
    </row>
    <row r="228" spans="1:7" ht="15.75" x14ac:dyDescent="0.25">
      <c r="A228" s="285" t="str">
        <f>'патриотика0,31'!A172</f>
        <v>Электроэнергия</v>
      </c>
      <c r="B228" s="321" t="s">
        <v>87</v>
      </c>
      <c r="C228" s="287"/>
      <c r="D228" s="287">
        <f>F221*6</f>
        <v>2.46</v>
      </c>
      <c r="E228" s="113">
        <f>'патриотика0,31'!E172</f>
        <v>7728</v>
      </c>
      <c r="F228" s="58">
        <f t="shared" si="7"/>
        <v>19010.88</v>
      </c>
    </row>
    <row r="229" spans="1:7" x14ac:dyDescent="0.25">
      <c r="A229" s="285" t="str">
        <f>'патриотика0,31'!A173</f>
        <v>ТКО</v>
      </c>
      <c r="B229" s="303" t="s">
        <v>22</v>
      </c>
      <c r="C229" s="287"/>
      <c r="D229" s="287">
        <f>F221*3.636</f>
        <v>1.4907599999999999</v>
      </c>
      <c r="E229" s="113">
        <f>'патриотика0,31'!E173</f>
        <v>2170.58</v>
      </c>
      <c r="F229" s="58">
        <f t="shared" si="7"/>
        <v>3235.8138407999995</v>
      </c>
    </row>
    <row r="230" spans="1:7" ht="15.75" x14ac:dyDescent="0.25">
      <c r="A230" s="285" t="str">
        <f>'патриотика0,31'!A174</f>
        <v>Электроэнергия (резерв)</v>
      </c>
      <c r="B230" s="321" t="s">
        <v>87</v>
      </c>
      <c r="C230" s="287"/>
      <c r="D230" s="287">
        <f>3.348*D234</f>
        <v>1.3726799999999999</v>
      </c>
      <c r="E230" s="113">
        <f>'патриотика0,31'!E174</f>
        <v>7728</v>
      </c>
      <c r="F230" s="58">
        <f>D230*E230+0.1</f>
        <v>10608.171039999999</v>
      </c>
    </row>
    <row r="231" spans="1:7" x14ac:dyDescent="0.25">
      <c r="A231" s="580"/>
      <c r="B231" s="581"/>
      <c r="C231" s="581"/>
      <c r="D231" s="581"/>
      <c r="E231" s="582"/>
      <c r="F231" s="444">
        <f>SUM(F225:F230)</f>
        <v>130228.3589808</v>
      </c>
    </row>
    <row r="232" spans="1:7" ht="15" hidden="1" customHeight="1" x14ac:dyDescent="0.25">
      <c r="A232" s="583" t="s">
        <v>45</v>
      </c>
      <c r="B232" s="583"/>
      <c r="C232" s="583"/>
      <c r="D232" s="583"/>
      <c r="E232" s="583"/>
      <c r="F232" s="583"/>
    </row>
    <row r="233" spans="1:7" hidden="1" x14ac:dyDescent="0.25">
      <c r="A233" s="295" t="s">
        <v>85</v>
      </c>
      <c r="B233" s="44" t="s">
        <v>197</v>
      </c>
      <c r="C233" s="44"/>
      <c r="D233" s="44"/>
      <c r="E233" s="45"/>
      <c r="F233" s="45"/>
    </row>
    <row r="234" spans="1:7" hidden="1" x14ac:dyDescent="0.25">
      <c r="D234" s="46">
        <f>F221</f>
        <v>0.41</v>
      </c>
    </row>
    <row r="235" spans="1:7" hidden="1" x14ac:dyDescent="0.25">
      <c r="A235" s="584" t="s">
        <v>111</v>
      </c>
      <c r="B235" s="585"/>
      <c r="C235" s="297"/>
      <c r="D235" s="297" t="s">
        <v>11</v>
      </c>
      <c r="E235" s="297" t="s">
        <v>49</v>
      </c>
      <c r="F235" s="297" t="s">
        <v>15</v>
      </c>
      <c r="G235" s="290" t="s">
        <v>6</v>
      </c>
    </row>
    <row r="236" spans="1:7" hidden="1" x14ac:dyDescent="0.25">
      <c r="A236" s="584">
        <v>1</v>
      </c>
      <c r="B236" s="585"/>
      <c r="C236" s="292"/>
      <c r="D236" s="297">
        <v>2</v>
      </c>
      <c r="E236" s="297">
        <v>3</v>
      </c>
      <c r="F236" s="297">
        <v>4</v>
      </c>
      <c r="G236" s="64" t="s">
        <v>70</v>
      </c>
    </row>
    <row r="237" spans="1:7" hidden="1" x14ac:dyDescent="0.25">
      <c r="A237" s="577" t="str">
        <f>A53</f>
        <v>Суточные</v>
      </c>
      <c r="B237" s="578"/>
      <c r="C237" s="302"/>
      <c r="D237" s="297" t="str">
        <f>D53</f>
        <v>сутки</v>
      </c>
      <c r="E237" s="225">
        <f>D234</f>
        <v>0.41</v>
      </c>
      <c r="F237" s="300">
        <f>F53</f>
        <v>450</v>
      </c>
      <c r="G237" s="64">
        <f>E237*F237</f>
        <v>184.5</v>
      </c>
    </row>
    <row r="238" spans="1:7" hidden="1" x14ac:dyDescent="0.25">
      <c r="A238" s="577" t="str">
        <f>A54</f>
        <v>Проезд</v>
      </c>
      <c r="B238" s="578"/>
      <c r="C238" s="302"/>
      <c r="D238" s="297" t="str">
        <f>D54</f>
        <v xml:space="preserve">Ед. </v>
      </c>
      <c r="E238" s="225">
        <v>0.33500000000000002</v>
      </c>
      <c r="F238" s="300">
        <f>F54</f>
        <v>6000</v>
      </c>
      <c r="G238" s="64">
        <f>E238*F238</f>
        <v>2010.0000000000002</v>
      </c>
    </row>
    <row r="239" spans="1:7" hidden="1" x14ac:dyDescent="0.25">
      <c r="A239" s="577" t="str">
        <f>A55</f>
        <v xml:space="preserve">Проживание </v>
      </c>
      <c r="B239" s="578"/>
      <c r="C239" s="302"/>
      <c r="D239" s="297" t="str">
        <f>D55</f>
        <v>сутки</v>
      </c>
      <c r="E239" s="225">
        <v>0.33500000000000002</v>
      </c>
      <c r="F239" s="300">
        <f>F55</f>
        <v>1509</v>
      </c>
      <c r="G239" s="64">
        <f>E239*F239-0.25</f>
        <v>505.26500000000004</v>
      </c>
    </row>
    <row r="240" spans="1:7" hidden="1" x14ac:dyDescent="0.25">
      <c r="A240" s="562" t="s">
        <v>110</v>
      </c>
      <c r="B240" s="563"/>
      <c r="C240" s="296"/>
      <c r="D240" s="60"/>
      <c r="E240" s="65"/>
      <c r="F240" s="65"/>
      <c r="G240" s="258">
        <v>0</v>
      </c>
    </row>
    <row r="241" spans="1:7" x14ac:dyDescent="0.25">
      <c r="A241" s="574" t="s">
        <v>36</v>
      </c>
      <c r="B241" s="574"/>
      <c r="C241" s="574"/>
      <c r="D241" s="574"/>
      <c r="E241" s="574"/>
      <c r="F241" s="574"/>
      <c r="G241" s="175"/>
    </row>
    <row r="242" spans="1:7" x14ac:dyDescent="0.25">
      <c r="D242" s="52">
        <f>D234</f>
        <v>0.41</v>
      </c>
    </row>
    <row r="243" spans="1:7" x14ac:dyDescent="0.25">
      <c r="A243" s="576" t="s">
        <v>24</v>
      </c>
      <c r="B243" s="576" t="s">
        <v>11</v>
      </c>
      <c r="C243" s="297"/>
      <c r="D243" s="576" t="s">
        <v>49</v>
      </c>
      <c r="E243" s="576" t="s">
        <v>15</v>
      </c>
      <c r="F243" s="588" t="s">
        <v>181</v>
      </c>
      <c r="G243" s="589" t="s">
        <v>6</v>
      </c>
    </row>
    <row r="244" spans="1:7" ht="3.6" customHeight="1" x14ac:dyDescent="0.25">
      <c r="A244" s="576"/>
      <c r="B244" s="576"/>
      <c r="C244" s="297"/>
      <c r="D244" s="576"/>
      <c r="E244" s="576"/>
      <c r="F244" s="588"/>
      <c r="G244" s="589"/>
    </row>
    <row r="245" spans="1:7" x14ac:dyDescent="0.25">
      <c r="A245" s="297">
        <v>1</v>
      </c>
      <c r="B245" s="297">
        <v>2</v>
      </c>
      <c r="C245" s="297"/>
      <c r="D245" s="297">
        <v>3</v>
      </c>
      <c r="E245" s="297">
        <v>4</v>
      </c>
      <c r="F245" s="297">
        <v>5</v>
      </c>
      <c r="G245" s="64" t="s">
        <v>71</v>
      </c>
    </row>
    <row r="246" spans="1:7" ht="15.75" x14ac:dyDescent="0.25">
      <c r="A246" s="382" t="s">
        <v>250</v>
      </c>
      <c r="B246" s="287" t="s">
        <v>198</v>
      </c>
      <c r="C246" s="287"/>
      <c r="D246" s="364">
        <f>110.71*D242</f>
        <v>45.391099999999994</v>
      </c>
      <c r="E246" s="357">
        <v>6.6</v>
      </c>
      <c r="F246" s="297">
        <v>12</v>
      </c>
      <c r="G246" s="64">
        <f t="shared" ref="G246:G249" si="8">D246*E246*F246</f>
        <v>3594.9751199999992</v>
      </c>
    </row>
    <row r="247" spans="1:7" ht="15.75" x14ac:dyDescent="0.25">
      <c r="A247" s="382" t="s">
        <v>251</v>
      </c>
      <c r="B247" s="287" t="s">
        <v>198</v>
      </c>
      <c r="C247" s="287"/>
      <c r="D247" s="361">
        <f>10.02*D242</f>
        <v>4.1081999999999992</v>
      </c>
      <c r="E247" s="357">
        <v>15</v>
      </c>
      <c r="F247" s="297">
        <v>12</v>
      </c>
      <c r="G247" s="64">
        <f t="shared" si="8"/>
        <v>739.47599999999989</v>
      </c>
    </row>
    <row r="248" spans="1:7" ht="15.75" x14ac:dyDescent="0.25">
      <c r="A248" s="382" t="s">
        <v>180</v>
      </c>
      <c r="B248" s="287" t="s">
        <v>198</v>
      </c>
      <c r="C248" s="287"/>
      <c r="D248" s="362">
        <f>1*D242</f>
        <v>0.41</v>
      </c>
      <c r="E248" s="363">
        <v>2183</v>
      </c>
      <c r="F248" s="297">
        <v>12</v>
      </c>
      <c r="G248" s="64">
        <f t="shared" si="8"/>
        <v>10740.36</v>
      </c>
    </row>
    <row r="249" spans="1:7" ht="15.75" x14ac:dyDescent="0.25">
      <c r="A249" s="382" t="s">
        <v>252</v>
      </c>
      <c r="B249" s="287" t="s">
        <v>198</v>
      </c>
      <c r="C249" s="287"/>
      <c r="D249" s="362">
        <f>1*D242</f>
        <v>0.41</v>
      </c>
      <c r="E249" s="363">
        <v>8166.67</v>
      </c>
      <c r="F249" s="297">
        <v>12</v>
      </c>
      <c r="G249" s="64">
        <f t="shared" si="8"/>
        <v>40180.0164</v>
      </c>
    </row>
    <row r="250" spans="1:7" ht="15.75" x14ac:dyDescent="0.25">
      <c r="A250" s="382" t="s">
        <v>253</v>
      </c>
      <c r="B250" s="287" t="s">
        <v>198</v>
      </c>
      <c r="C250" s="287"/>
      <c r="D250" s="362">
        <f>170*D242</f>
        <v>69.7</v>
      </c>
      <c r="E250" s="363">
        <v>30.77</v>
      </c>
      <c r="F250" s="297">
        <v>1</v>
      </c>
      <c r="G250" s="64">
        <f>D250*E250*F250+0.5</f>
        <v>2145.1689999999999</v>
      </c>
    </row>
    <row r="251" spans="1:7" x14ac:dyDescent="0.25">
      <c r="A251" s="590" t="s">
        <v>26</v>
      </c>
      <c r="B251" s="590"/>
      <c r="C251" s="590"/>
      <c r="D251" s="590"/>
      <c r="E251" s="590"/>
      <c r="F251" s="590"/>
      <c r="G251" s="262">
        <f>SUM(G246:G250)</f>
        <v>57399.996520000001</v>
      </c>
    </row>
    <row r="252" spans="1:7" x14ac:dyDescent="0.25">
      <c r="A252" s="574" t="s">
        <v>57</v>
      </c>
      <c r="B252" s="574"/>
      <c r="C252" s="574"/>
      <c r="D252" s="574"/>
      <c r="E252" s="574"/>
      <c r="F252" s="574"/>
    </row>
    <row r="253" spans="1:7" x14ac:dyDescent="0.25">
      <c r="D253" s="52">
        <f>D242</f>
        <v>0.41</v>
      </c>
    </row>
    <row r="254" spans="1:7" x14ac:dyDescent="0.25">
      <c r="A254" s="576" t="s">
        <v>200</v>
      </c>
      <c r="B254" s="576" t="s">
        <v>11</v>
      </c>
      <c r="C254" s="297"/>
      <c r="D254" s="576" t="s">
        <v>49</v>
      </c>
      <c r="E254" s="576" t="s">
        <v>15</v>
      </c>
      <c r="F254" s="576" t="s">
        <v>25</v>
      </c>
      <c r="G254" s="586" t="s">
        <v>6</v>
      </c>
    </row>
    <row r="255" spans="1:7" hidden="1" x14ac:dyDescent="0.25">
      <c r="A255" s="576"/>
      <c r="B255" s="576"/>
      <c r="C255" s="297"/>
      <c r="D255" s="576"/>
      <c r="E255" s="576"/>
      <c r="F255" s="576"/>
      <c r="G255" s="587"/>
    </row>
    <row r="256" spans="1:7" x14ac:dyDescent="0.25">
      <c r="A256" s="297">
        <v>1</v>
      </c>
      <c r="B256" s="297">
        <v>2</v>
      </c>
      <c r="C256" s="297"/>
      <c r="D256" s="297">
        <v>3</v>
      </c>
      <c r="E256" s="297">
        <v>4</v>
      </c>
      <c r="F256" s="297">
        <v>5</v>
      </c>
      <c r="G256" s="59" t="s">
        <v>72</v>
      </c>
    </row>
    <row r="257" spans="1:7" hidden="1" x14ac:dyDescent="0.25">
      <c r="A257" s="127" t="s">
        <v>210</v>
      </c>
      <c r="B257" s="297" t="s">
        <v>126</v>
      </c>
      <c r="C257" s="297"/>
      <c r="D257" s="297">
        <v>0</v>
      </c>
      <c r="E257" s="297">
        <v>0</v>
      </c>
      <c r="F257" s="297">
        <v>1</v>
      </c>
      <c r="G257" s="59">
        <f>D257*E257</f>
        <v>0</v>
      </c>
    </row>
    <row r="258" spans="1:7" x14ac:dyDescent="0.25">
      <c r="A258" s="55" t="s">
        <v>182</v>
      </c>
      <c r="B258" s="297" t="s">
        <v>22</v>
      </c>
      <c r="C258" s="297"/>
      <c r="D258" s="297">
        <f>1*D253</f>
        <v>0.41</v>
      </c>
      <c r="E258" s="300">
        <v>19000</v>
      </c>
      <c r="F258" s="297">
        <v>1</v>
      </c>
      <c r="G258" s="59">
        <f>D258*E258*F258</f>
        <v>7789.9999999999991</v>
      </c>
    </row>
    <row r="259" spans="1:7" x14ac:dyDescent="0.25">
      <c r="A259" s="571" t="s">
        <v>58</v>
      </c>
      <c r="B259" s="572"/>
      <c r="C259" s="572"/>
      <c r="D259" s="572"/>
      <c r="E259" s="572"/>
      <c r="F259" s="573"/>
      <c r="G259" s="265">
        <f>SUM(G257:G258)</f>
        <v>7789.9999999999991</v>
      </c>
    </row>
    <row r="260" spans="1:7" x14ac:dyDescent="0.25">
      <c r="A260" s="574" t="s">
        <v>19</v>
      </c>
      <c r="B260" s="574"/>
      <c r="C260" s="574"/>
      <c r="D260" s="574"/>
      <c r="E260" s="574"/>
      <c r="F260" s="574"/>
    </row>
    <row r="261" spans="1:7" x14ac:dyDescent="0.25">
      <c r="A261" s="575" t="s">
        <v>20</v>
      </c>
      <c r="B261" s="575"/>
      <c r="C261" s="575"/>
      <c r="D261" s="575"/>
      <c r="E261" s="575"/>
      <c r="F261" s="575"/>
    </row>
    <row r="262" spans="1:7" x14ac:dyDescent="0.25">
      <c r="D262" s="52">
        <f>D253</f>
        <v>0.41</v>
      </c>
    </row>
    <row r="263" spans="1:7" x14ac:dyDescent="0.25">
      <c r="A263" s="576" t="s">
        <v>21</v>
      </c>
      <c r="B263" s="576" t="s">
        <v>11</v>
      </c>
      <c r="C263" s="297"/>
      <c r="D263" s="576" t="s">
        <v>14</v>
      </c>
      <c r="E263" s="576" t="s">
        <v>15</v>
      </c>
      <c r="F263" s="576" t="s">
        <v>6</v>
      </c>
    </row>
    <row r="264" spans="1:7" x14ac:dyDescent="0.25">
      <c r="A264" s="576"/>
      <c r="B264" s="576"/>
      <c r="C264" s="297"/>
      <c r="D264" s="576"/>
      <c r="E264" s="576"/>
      <c r="F264" s="576"/>
    </row>
    <row r="265" spans="1:7" x14ac:dyDescent="0.25">
      <c r="A265" s="298">
        <v>1</v>
      </c>
      <c r="B265" s="298">
        <v>2</v>
      </c>
      <c r="C265" s="298"/>
      <c r="D265" s="298">
        <v>3</v>
      </c>
      <c r="E265" s="298">
        <v>7</v>
      </c>
      <c r="F265" s="298" t="s">
        <v>184</v>
      </c>
    </row>
    <row r="266" spans="1:7" ht="15.75" x14ac:dyDescent="0.25">
      <c r="A266" s="486" t="s">
        <v>386</v>
      </c>
      <c r="B266" s="486" t="str">
        <f>$B$258</f>
        <v>договор</v>
      </c>
      <c r="C266" s="486"/>
      <c r="D266" s="159">
        <f>12*$D$262</f>
        <v>4.92</v>
      </c>
      <c r="E266" s="742">
        <v>2000</v>
      </c>
      <c r="F266" s="489">
        <f>D266*E266</f>
        <v>9840</v>
      </c>
    </row>
    <row r="267" spans="1:7" ht="15.75" x14ac:dyDescent="0.25">
      <c r="A267" s="95" t="s">
        <v>186</v>
      </c>
      <c r="B267" s="486" t="str">
        <f t="shared" ref="B267:B291" si="9">$B$258</f>
        <v>договор</v>
      </c>
      <c r="C267" s="95"/>
      <c r="D267" s="159">
        <f>2*$D$262</f>
        <v>0.82</v>
      </c>
      <c r="E267" s="742">
        <v>30000</v>
      </c>
      <c r="F267" s="489">
        <f t="shared" ref="F267:F291" si="10">D267*E267</f>
        <v>24600</v>
      </c>
    </row>
    <row r="268" spans="1:7" ht="15.75" x14ac:dyDescent="0.25">
      <c r="A268" s="95" t="s">
        <v>208</v>
      </c>
      <c r="B268" s="486" t="str">
        <f t="shared" si="9"/>
        <v>договор</v>
      </c>
      <c r="C268" s="95"/>
      <c r="D268" s="159">
        <f>1*$D$262</f>
        <v>0.41</v>
      </c>
      <c r="E268" s="742">
        <v>6602.4</v>
      </c>
      <c r="F268" s="489">
        <f t="shared" si="10"/>
        <v>2706.9839999999995</v>
      </c>
    </row>
    <row r="269" spans="1:7" ht="30" customHeight="1" x14ac:dyDescent="0.25">
      <c r="A269" s="95" t="s">
        <v>387</v>
      </c>
      <c r="B269" s="486" t="str">
        <f t="shared" si="9"/>
        <v>договор</v>
      </c>
      <c r="C269" s="95"/>
      <c r="D269" s="159">
        <f>1*$D$262</f>
        <v>0.41</v>
      </c>
      <c r="E269" s="742">
        <v>9040</v>
      </c>
      <c r="F269" s="489">
        <f t="shared" si="10"/>
        <v>3706.3999999999996</v>
      </c>
    </row>
    <row r="270" spans="1:7" ht="15.75" x14ac:dyDescent="0.25">
      <c r="A270" s="95" t="s">
        <v>550</v>
      </c>
      <c r="B270" s="486" t="str">
        <f t="shared" si="9"/>
        <v>договор</v>
      </c>
      <c r="C270" s="95"/>
      <c r="D270" s="159">
        <f>1*$D$262</f>
        <v>0.41</v>
      </c>
      <c r="E270" s="742">
        <v>1200</v>
      </c>
      <c r="F270" s="489">
        <f t="shared" si="10"/>
        <v>491.99999999999994</v>
      </c>
    </row>
    <row r="271" spans="1:7" ht="25.5" x14ac:dyDescent="0.25">
      <c r="A271" s="95" t="s">
        <v>112</v>
      </c>
      <c r="B271" s="486" t="str">
        <f t="shared" si="9"/>
        <v>договор</v>
      </c>
      <c r="C271" s="95"/>
      <c r="D271" s="159">
        <f>1*$D$262</f>
        <v>0.41</v>
      </c>
      <c r="E271" s="742">
        <v>0</v>
      </c>
      <c r="F271" s="489">
        <f t="shared" si="10"/>
        <v>0</v>
      </c>
    </row>
    <row r="272" spans="1:7" ht="15.75" x14ac:dyDescent="0.25">
      <c r="A272" s="95" t="s">
        <v>211</v>
      </c>
      <c r="B272" s="486" t="str">
        <f t="shared" si="9"/>
        <v>договор</v>
      </c>
      <c r="C272" s="95"/>
      <c r="D272" s="159">
        <f>85*D262</f>
        <v>34.85</v>
      </c>
      <c r="E272" s="742">
        <v>175.75</v>
      </c>
      <c r="F272" s="489">
        <f t="shared" si="10"/>
        <v>6124.8874999999998</v>
      </c>
    </row>
    <row r="273" spans="1:6" ht="15.75" x14ac:dyDescent="0.25">
      <c r="A273" s="95" t="s">
        <v>254</v>
      </c>
      <c r="B273" s="486" t="str">
        <f t="shared" si="9"/>
        <v>договор</v>
      </c>
      <c r="C273" s="408"/>
      <c r="D273" s="365">
        <f>12*D262</f>
        <v>4.92</v>
      </c>
      <c r="E273" s="181">
        <v>1000</v>
      </c>
      <c r="F273" s="489">
        <f t="shared" si="10"/>
        <v>4920</v>
      </c>
    </row>
    <row r="274" spans="1:6" ht="15.75" x14ac:dyDescent="0.25">
      <c r="A274" s="95" t="s">
        <v>388</v>
      </c>
      <c r="B274" s="486" t="str">
        <f t="shared" si="9"/>
        <v>договор</v>
      </c>
      <c r="C274" s="95"/>
      <c r="D274" s="365">
        <f>10*D262</f>
        <v>4.0999999999999996</v>
      </c>
      <c r="E274" s="181">
        <v>700</v>
      </c>
      <c r="F274" s="489">
        <f t="shared" si="10"/>
        <v>2869.9999999999995</v>
      </c>
    </row>
    <row r="275" spans="1:6" ht="15.75" x14ac:dyDescent="0.25">
      <c r="A275" s="95" t="s">
        <v>389</v>
      </c>
      <c r="B275" s="486" t="str">
        <f t="shared" si="9"/>
        <v>договор</v>
      </c>
      <c r="C275" s="95"/>
      <c r="D275" s="365">
        <f>1*D262</f>
        <v>0.41</v>
      </c>
      <c r="E275" s="181">
        <v>94999.97</v>
      </c>
      <c r="F275" s="489">
        <f t="shared" si="10"/>
        <v>38949.987699999998</v>
      </c>
    </row>
    <row r="276" spans="1:6" ht="15.75" x14ac:dyDescent="0.25">
      <c r="A276" s="95"/>
      <c r="B276" s="486" t="str">
        <f t="shared" si="9"/>
        <v>договор</v>
      </c>
      <c r="C276" s="95"/>
      <c r="D276" s="365">
        <v>0.41</v>
      </c>
      <c r="E276" s="181">
        <v>155.71</v>
      </c>
      <c r="F276" s="489">
        <f t="shared" si="10"/>
        <v>63.841099999999997</v>
      </c>
    </row>
    <row r="277" spans="1:6" ht="15.75" x14ac:dyDescent="0.25">
      <c r="A277" s="95" t="s">
        <v>551</v>
      </c>
      <c r="B277" s="486" t="str">
        <f t="shared" si="9"/>
        <v>договор</v>
      </c>
      <c r="C277" s="95"/>
      <c r="D277" s="365">
        <f>1*D262</f>
        <v>0.41</v>
      </c>
      <c r="E277" s="181">
        <v>9763.17</v>
      </c>
      <c r="F277" s="489">
        <f t="shared" si="10"/>
        <v>4002.8996999999999</v>
      </c>
    </row>
    <row r="278" spans="1:6" ht="15.75" x14ac:dyDescent="0.25">
      <c r="A278" s="382" t="s">
        <v>390</v>
      </c>
      <c r="B278" s="486" t="str">
        <f t="shared" si="9"/>
        <v>договор</v>
      </c>
      <c r="C278" s="438"/>
      <c r="D278" s="365">
        <f>2*D262</f>
        <v>0.82</v>
      </c>
      <c r="E278" s="159">
        <v>8800</v>
      </c>
      <c r="F278" s="489">
        <f t="shared" si="10"/>
        <v>7216</v>
      </c>
    </row>
    <row r="279" spans="1:6" ht="15.75" x14ac:dyDescent="0.25">
      <c r="A279" s="382" t="s">
        <v>552</v>
      </c>
      <c r="B279" s="486" t="str">
        <f t="shared" si="9"/>
        <v>договор</v>
      </c>
      <c r="C279" s="438"/>
      <c r="D279" s="365">
        <f>1*D262</f>
        <v>0.41</v>
      </c>
      <c r="E279" s="159">
        <v>2000</v>
      </c>
      <c r="F279" s="489">
        <f t="shared" si="10"/>
        <v>820</v>
      </c>
    </row>
    <row r="280" spans="1:6" ht="15.75" x14ac:dyDescent="0.25">
      <c r="A280" s="380" t="s">
        <v>212</v>
      </c>
      <c r="B280" s="486" t="str">
        <f t="shared" si="9"/>
        <v>договор</v>
      </c>
      <c r="C280" s="438"/>
      <c r="D280" s="365">
        <f>2*$D$262</f>
        <v>0.82</v>
      </c>
      <c r="E280" s="159">
        <v>25900</v>
      </c>
      <c r="F280" s="489">
        <f t="shared" si="10"/>
        <v>21238</v>
      </c>
    </row>
    <row r="281" spans="1:6" ht="15.75" x14ac:dyDescent="0.25">
      <c r="A281" s="744" t="s">
        <v>255</v>
      </c>
      <c r="B281" s="486" t="str">
        <f t="shared" si="9"/>
        <v>договор</v>
      </c>
      <c r="C281" s="438"/>
      <c r="D281" s="365">
        <f t="shared" ref="D281:D289" si="11">1*$D$262</f>
        <v>0.41</v>
      </c>
      <c r="E281" s="746">
        <v>2947</v>
      </c>
      <c r="F281" s="489">
        <f t="shared" si="10"/>
        <v>1208.27</v>
      </c>
    </row>
    <row r="282" spans="1:6" ht="15.75" x14ac:dyDescent="0.25">
      <c r="A282" s="472" t="s">
        <v>201</v>
      </c>
      <c r="B282" s="486" t="str">
        <f t="shared" si="9"/>
        <v>договор</v>
      </c>
      <c r="C282" s="438"/>
      <c r="D282" s="365">
        <f t="shared" si="11"/>
        <v>0.41</v>
      </c>
      <c r="E282" s="747">
        <v>765</v>
      </c>
      <c r="F282" s="489">
        <f t="shared" si="10"/>
        <v>313.64999999999998</v>
      </c>
    </row>
    <row r="283" spans="1:6" ht="15.75" x14ac:dyDescent="0.25">
      <c r="A283" s="472" t="s">
        <v>391</v>
      </c>
      <c r="B283" s="486" t="str">
        <f t="shared" si="9"/>
        <v>договор</v>
      </c>
      <c r="C283" s="438"/>
      <c r="D283" s="365">
        <f t="shared" si="11"/>
        <v>0.41</v>
      </c>
      <c r="E283" s="747">
        <v>43180</v>
      </c>
      <c r="F283" s="489">
        <f t="shared" si="10"/>
        <v>17703.8</v>
      </c>
    </row>
    <row r="284" spans="1:6" ht="15.75" x14ac:dyDescent="0.25">
      <c r="A284" s="472" t="s">
        <v>392</v>
      </c>
      <c r="B284" s="486" t="str">
        <f t="shared" si="9"/>
        <v>договор</v>
      </c>
      <c r="C284" s="438"/>
      <c r="D284" s="365">
        <f>200*$D$262</f>
        <v>82</v>
      </c>
      <c r="E284" s="747">
        <v>85</v>
      </c>
      <c r="F284" s="489">
        <f t="shared" si="10"/>
        <v>6970</v>
      </c>
    </row>
    <row r="285" spans="1:6" ht="15.75" x14ac:dyDescent="0.25">
      <c r="A285" s="472" t="s">
        <v>206</v>
      </c>
      <c r="B285" s="486" t="str">
        <f t="shared" si="9"/>
        <v>договор</v>
      </c>
      <c r="C285" s="438"/>
      <c r="D285" s="365">
        <f>12*$D$262</f>
        <v>4.92</v>
      </c>
      <c r="E285" s="747">
        <v>8000</v>
      </c>
      <c r="F285" s="489">
        <f t="shared" si="10"/>
        <v>39360</v>
      </c>
    </row>
    <row r="286" spans="1:6" ht="15.75" x14ac:dyDescent="0.25">
      <c r="A286" s="472" t="s">
        <v>207</v>
      </c>
      <c r="B286" s="486" t="str">
        <f t="shared" si="9"/>
        <v>договор</v>
      </c>
      <c r="C286" s="438"/>
      <c r="D286" s="365">
        <f>12*$D$262</f>
        <v>4.92</v>
      </c>
      <c r="E286" s="747">
        <v>5000</v>
      </c>
      <c r="F286" s="489">
        <f t="shared" si="10"/>
        <v>24600</v>
      </c>
    </row>
    <row r="287" spans="1:6" ht="15.75" x14ac:dyDescent="0.25">
      <c r="A287" s="472" t="s">
        <v>393</v>
      </c>
      <c r="B287" s="486" t="str">
        <f t="shared" si="9"/>
        <v>договор</v>
      </c>
      <c r="C287" s="438"/>
      <c r="D287" s="365">
        <f t="shared" si="11"/>
        <v>0.41</v>
      </c>
      <c r="E287" s="747">
        <v>35000</v>
      </c>
      <c r="F287" s="489">
        <f t="shared" si="10"/>
        <v>14350</v>
      </c>
    </row>
    <row r="288" spans="1:6" ht="15.75" x14ac:dyDescent="0.25">
      <c r="A288" s="472" t="s">
        <v>213</v>
      </c>
      <c r="B288" s="486" t="str">
        <f t="shared" si="9"/>
        <v>договор</v>
      </c>
      <c r="C288" s="438"/>
      <c r="D288" s="365">
        <f t="shared" si="11"/>
        <v>0.41</v>
      </c>
      <c r="E288" s="747">
        <v>23825</v>
      </c>
      <c r="F288" s="489">
        <f t="shared" si="10"/>
        <v>9768.25</v>
      </c>
    </row>
    <row r="289" spans="1:7" ht="15.75" x14ac:dyDescent="0.25">
      <c r="A289" s="745" t="s">
        <v>553</v>
      </c>
      <c r="B289" s="486" t="str">
        <f t="shared" si="9"/>
        <v>договор</v>
      </c>
      <c r="C289" s="438"/>
      <c r="D289" s="365">
        <f t="shared" si="11"/>
        <v>0.41</v>
      </c>
      <c r="E289" s="748">
        <v>19983</v>
      </c>
      <c r="F289" s="489">
        <f t="shared" si="10"/>
        <v>8193.0299999999988</v>
      </c>
    </row>
    <row r="290" spans="1:7" ht="15.75" x14ac:dyDescent="0.25">
      <c r="A290" s="745" t="s">
        <v>394</v>
      </c>
      <c r="B290" s="486" t="str">
        <f t="shared" si="9"/>
        <v>договор</v>
      </c>
      <c r="C290" s="95"/>
      <c r="D290" s="365">
        <f>2*$D$262</f>
        <v>0.82</v>
      </c>
      <c r="E290" s="748">
        <v>7400</v>
      </c>
      <c r="F290" s="489">
        <f t="shared" si="10"/>
        <v>6068</v>
      </c>
    </row>
    <row r="291" spans="1:7" ht="15.75" x14ac:dyDescent="0.25">
      <c r="A291" s="745" t="s">
        <v>395</v>
      </c>
      <c r="B291" s="486" t="str">
        <f t="shared" si="9"/>
        <v>договор</v>
      </c>
      <c r="C291" s="95"/>
      <c r="D291" s="365">
        <f>2*$D$262</f>
        <v>0.82</v>
      </c>
      <c r="E291" s="748">
        <v>5250</v>
      </c>
      <c r="F291" s="489">
        <f t="shared" si="10"/>
        <v>4305</v>
      </c>
    </row>
    <row r="292" spans="1:7" x14ac:dyDescent="0.25">
      <c r="A292" s="564" t="s">
        <v>23</v>
      </c>
      <c r="B292" s="565"/>
      <c r="C292" s="565"/>
      <c r="D292" s="565"/>
      <c r="E292" s="566"/>
      <c r="F292" s="266">
        <f>SUM(F266:F291)</f>
        <v>260391</v>
      </c>
    </row>
    <row r="293" spans="1:7" x14ac:dyDescent="0.25">
      <c r="A293" s="567" t="s">
        <v>29</v>
      </c>
      <c r="B293" s="568"/>
      <c r="C293" s="568"/>
      <c r="D293" s="568"/>
      <c r="E293" s="568"/>
      <c r="F293" s="569"/>
    </row>
    <row r="294" spans="1:7" x14ac:dyDescent="0.25">
      <c r="A294" s="372">
        <f>D262</f>
        <v>0.41</v>
      </c>
      <c r="B294" s="373"/>
      <c r="C294" s="373"/>
      <c r="D294" s="373"/>
      <c r="E294" s="373"/>
      <c r="F294" s="374"/>
    </row>
    <row r="295" spans="1:7" x14ac:dyDescent="0.25">
      <c r="A295" s="570" t="s">
        <v>30</v>
      </c>
      <c r="B295" s="570" t="s">
        <v>11</v>
      </c>
      <c r="C295" s="305"/>
      <c r="D295" s="570" t="s">
        <v>14</v>
      </c>
      <c r="E295" s="570" t="s">
        <v>15</v>
      </c>
      <c r="F295" s="570" t="s">
        <v>6</v>
      </c>
    </row>
    <row r="296" spans="1:7" x14ac:dyDescent="0.25">
      <c r="A296" s="570"/>
      <c r="B296" s="570"/>
      <c r="C296" s="305"/>
      <c r="D296" s="570"/>
      <c r="E296" s="570"/>
      <c r="F296" s="570"/>
    </row>
    <row r="297" spans="1:7" x14ac:dyDescent="0.25">
      <c r="A297" s="305">
        <v>1</v>
      </c>
      <c r="B297" s="305">
        <v>2</v>
      </c>
      <c r="C297" s="305"/>
      <c r="D297" s="305">
        <v>3</v>
      </c>
      <c r="E297" s="305">
        <v>4</v>
      </c>
      <c r="F297" s="305" t="s">
        <v>113</v>
      </c>
    </row>
    <row r="298" spans="1:7" ht="16.5" x14ac:dyDescent="0.25">
      <c r="A298" s="366" t="str">
        <f>Лист1!B3</f>
        <v>Пиломатериал доска 100*50*6000</v>
      </c>
      <c r="B298" s="219" t="s">
        <v>88</v>
      </c>
      <c r="C298" s="216"/>
      <c r="D298" s="216">
        <f>Лист1!C3*$A$294</f>
        <v>0.41</v>
      </c>
      <c r="E298" s="375">
        <f>Лист1!D3</f>
        <v>9000</v>
      </c>
      <c r="F298" s="218">
        <f>D298*E298</f>
        <v>3690</v>
      </c>
      <c r="G298" s="383"/>
    </row>
    <row r="299" spans="1:7" ht="16.5" x14ac:dyDescent="0.25">
      <c r="A299" s="366" t="str">
        <f>Лист1!B4</f>
        <v>Брусок 100*100*6000</v>
      </c>
      <c r="B299" s="219" t="s">
        <v>88</v>
      </c>
      <c r="C299" s="216"/>
      <c r="D299" s="216">
        <f>Лист1!C4*$A$294</f>
        <v>0.41</v>
      </c>
      <c r="E299" s="375">
        <f>Лист1!D4</f>
        <v>10000</v>
      </c>
      <c r="F299" s="218">
        <f t="shared" ref="F299:F362" si="12">D299*E299</f>
        <v>4100</v>
      </c>
      <c r="G299" s="383"/>
    </row>
    <row r="300" spans="1:7" ht="15" customHeight="1" x14ac:dyDescent="0.25">
      <c r="A300" s="366" t="str">
        <f>Лист1!B5</f>
        <v>Искусственный камень</v>
      </c>
      <c r="B300" s="219" t="s">
        <v>88</v>
      </c>
      <c r="C300" s="216"/>
      <c r="D300" s="216">
        <f>Лист1!C5*$A$294</f>
        <v>4.0999999999999996</v>
      </c>
      <c r="E300" s="375">
        <f>Лист1!D5</f>
        <v>600</v>
      </c>
      <c r="F300" s="218">
        <f t="shared" si="12"/>
        <v>2460</v>
      </c>
      <c r="G300" s="383"/>
    </row>
    <row r="301" spans="1:7" ht="15" customHeight="1" x14ac:dyDescent="0.25">
      <c r="A301" s="366" t="str">
        <f>Лист1!B6</f>
        <v>карбонат монолитный</v>
      </c>
      <c r="B301" s="219" t="s">
        <v>88</v>
      </c>
      <c r="C301" s="216"/>
      <c r="D301" s="216">
        <f>Лист1!C6*$A$294</f>
        <v>2.0499999999999998</v>
      </c>
      <c r="E301" s="375">
        <f>Лист1!D6</f>
        <v>6600</v>
      </c>
      <c r="F301" s="218">
        <f t="shared" si="12"/>
        <v>13529.999999999998</v>
      </c>
      <c r="G301" s="383"/>
    </row>
    <row r="302" spans="1:7" ht="15" customHeight="1" x14ac:dyDescent="0.25">
      <c r="A302" s="366" t="str">
        <f>Лист1!B7</f>
        <v>Катридж CN54AE HP 933XL</v>
      </c>
      <c r="B302" s="219" t="s">
        <v>88</v>
      </c>
      <c r="C302" s="216"/>
      <c r="D302" s="216">
        <f>Лист1!C7*$A$294</f>
        <v>3.69</v>
      </c>
      <c r="E302" s="375">
        <f>Лист1!D7</f>
        <v>1860</v>
      </c>
      <c r="F302" s="218">
        <f t="shared" si="12"/>
        <v>6863.4</v>
      </c>
      <c r="G302" s="383"/>
    </row>
    <row r="303" spans="1:7" ht="16.5" x14ac:dyDescent="0.25">
      <c r="A303" s="366" t="str">
        <f>Лист1!B8</f>
        <v>Катридж CN54AE HP 932XL</v>
      </c>
      <c r="B303" s="219" t="s">
        <v>88</v>
      </c>
      <c r="C303" s="216"/>
      <c r="D303" s="216">
        <f>Лист1!C8*$A$294</f>
        <v>1.23</v>
      </c>
      <c r="E303" s="375">
        <f>Лист1!D8</f>
        <v>3689</v>
      </c>
      <c r="F303" s="218">
        <f t="shared" si="12"/>
        <v>4537.47</v>
      </c>
      <c r="G303" s="383"/>
    </row>
    <row r="304" spans="1:7" ht="16.5" x14ac:dyDescent="0.25">
      <c r="A304" s="366" t="str">
        <f>Лист1!B9</f>
        <v>Чернила Canon Gl-490C PIXMA</v>
      </c>
      <c r="B304" s="219" t="s">
        <v>88</v>
      </c>
      <c r="C304" s="216"/>
      <c r="D304" s="216">
        <f>Лист1!C9*$A$294</f>
        <v>4.92</v>
      </c>
      <c r="E304" s="375">
        <f>Лист1!D9</f>
        <v>800</v>
      </c>
      <c r="F304" s="218">
        <f t="shared" si="12"/>
        <v>3936</v>
      </c>
      <c r="G304" s="383"/>
    </row>
    <row r="305" spans="1:7" ht="16.5" x14ac:dyDescent="0.25">
      <c r="A305" s="366" t="str">
        <f>Лист1!B10</f>
        <v>Бумага А4 500 шт. SvetoCopy</v>
      </c>
      <c r="B305" s="219" t="s">
        <v>88</v>
      </c>
      <c r="C305" s="216"/>
      <c r="D305" s="216">
        <f>Лист1!C10*$A$294</f>
        <v>12.299999999999999</v>
      </c>
      <c r="E305" s="375">
        <f>Лист1!D10</f>
        <v>300</v>
      </c>
      <c r="F305" s="218">
        <f t="shared" si="12"/>
        <v>3689.9999999999995</v>
      </c>
      <c r="G305" s="383"/>
    </row>
    <row r="306" spans="1:7" ht="16.5" x14ac:dyDescent="0.25">
      <c r="A306" s="366" t="str">
        <f>Лист1!B11</f>
        <v>Бумага А3 500 шт. SvetoCopy</v>
      </c>
      <c r="B306" s="219" t="s">
        <v>88</v>
      </c>
      <c r="C306" s="216"/>
      <c r="D306" s="216">
        <f>Лист1!C11*$A$294</f>
        <v>8.1999999999999993</v>
      </c>
      <c r="E306" s="375">
        <f>Лист1!D11</f>
        <v>400</v>
      </c>
      <c r="F306" s="218">
        <f t="shared" si="12"/>
        <v>3279.9999999999995</v>
      </c>
      <c r="G306" s="383"/>
    </row>
    <row r="307" spans="1:7" ht="15" customHeight="1" x14ac:dyDescent="0.25">
      <c r="A307" s="366" t="str">
        <f>Лист1!B12</f>
        <v>Фанера</v>
      </c>
      <c r="B307" s="219" t="s">
        <v>88</v>
      </c>
      <c r="C307" s="216"/>
      <c r="D307" s="216">
        <f>Лист1!C12*$A$294</f>
        <v>0.41</v>
      </c>
      <c r="E307" s="375">
        <f>Лист1!D12</f>
        <v>1000</v>
      </c>
      <c r="F307" s="218">
        <f t="shared" si="12"/>
        <v>410</v>
      </c>
      <c r="G307" s="383"/>
    </row>
    <row r="308" spans="1:7" ht="15" customHeight="1" x14ac:dyDescent="0.25">
      <c r="A308" s="366" t="str">
        <f>Лист1!B13</f>
        <v>Антифриз</v>
      </c>
      <c r="B308" s="219" t="s">
        <v>88</v>
      </c>
      <c r="C308" s="216"/>
      <c r="D308" s="216">
        <f>Лист1!C13*$A$294</f>
        <v>12.299999999999999</v>
      </c>
      <c r="E308" s="375">
        <f>Лист1!D13</f>
        <v>183</v>
      </c>
      <c r="F308" s="218">
        <f t="shared" si="12"/>
        <v>2250.8999999999996</v>
      </c>
      <c r="G308" s="383"/>
    </row>
    <row r="309" spans="1:7" ht="15" customHeight="1" x14ac:dyDescent="0.25">
      <c r="A309" s="366" t="str">
        <f>Лист1!B14</f>
        <v>насадка на швабру</v>
      </c>
      <c r="B309" s="219" t="s">
        <v>88</v>
      </c>
      <c r="C309" s="216"/>
      <c r="D309" s="216">
        <f>Лист1!C14*$A$294</f>
        <v>4.0999999999999996</v>
      </c>
      <c r="E309" s="375">
        <f>Лист1!D14</f>
        <v>100</v>
      </c>
      <c r="F309" s="218">
        <f t="shared" si="12"/>
        <v>409.99999999999994</v>
      </c>
      <c r="G309" s="383"/>
    </row>
    <row r="310" spans="1:7" ht="15" customHeight="1" x14ac:dyDescent="0.25">
      <c r="A310" s="366" t="str">
        <f>Лист1!B15</f>
        <v>дез ср/во для сантехники</v>
      </c>
      <c r="B310" s="219" t="s">
        <v>88</v>
      </c>
      <c r="C310" s="216"/>
      <c r="D310" s="216">
        <f>Лист1!C15*$A$294</f>
        <v>0.82</v>
      </c>
      <c r="E310" s="375">
        <f>Лист1!D15</f>
        <v>500</v>
      </c>
      <c r="F310" s="218">
        <f t="shared" si="12"/>
        <v>410</v>
      </c>
      <c r="G310" s="383"/>
    </row>
    <row r="311" spans="1:7" ht="15" customHeight="1" x14ac:dyDescent="0.25">
      <c r="A311" s="366" t="str">
        <f>Лист1!B16</f>
        <v>ср-во для чистки стекол</v>
      </c>
      <c r="B311" s="219" t="s">
        <v>88</v>
      </c>
      <c r="C311" s="216"/>
      <c r="D311" s="216">
        <f>Лист1!C16*$A$294</f>
        <v>2.0499999999999998</v>
      </c>
      <c r="E311" s="375">
        <f>Лист1!D16</f>
        <v>200</v>
      </c>
      <c r="F311" s="218">
        <f t="shared" si="12"/>
        <v>409.99999999999994</v>
      </c>
      <c r="G311" s="383"/>
    </row>
    <row r="312" spans="1:7" ht="15" customHeight="1" x14ac:dyDescent="0.25">
      <c r="A312" s="366" t="str">
        <f>Лист1!B17</f>
        <v>ватные диски +терм</v>
      </c>
      <c r="B312" s="219" t="s">
        <v>88</v>
      </c>
      <c r="C312" s="287"/>
      <c r="D312" s="216">
        <f>Лист1!C17*$A$294</f>
        <v>0.41</v>
      </c>
      <c r="E312" s="375">
        <f>Лист1!D17</f>
        <v>466</v>
      </c>
      <c r="F312" s="218">
        <f t="shared" si="12"/>
        <v>191.06</v>
      </c>
      <c r="G312" s="383"/>
    </row>
    <row r="313" spans="1:7" ht="15" customHeight="1" x14ac:dyDescent="0.25">
      <c r="A313" s="366" t="str">
        <f>Лист1!B18</f>
        <v>щит мет</v>
      </c>
      <c r="B313" s="219" t="s">
        <v>88</v>
      </c>
      <c r="C313" s="287"/>
      <c r="D313" s="216">
        <f>Лист1!C18*$A$294</f>
        <v>0.41</v>
      </c>
      <c r="E313" s="375">
        <f>Лист1!D18</f>
        <v>1385</v>
      </c>
      <c r="F313" s="218">
        <f t="shared" si="12"/>
        <v>567.85</v>
      </c>
      <c r="G313" s="383"/>
    </row>
    <row r="314" spans="1:7" ht="15" customHeight="1" x14ac:dyDescent="0.25">
      <c r="A314" s="366" t="str">
        <f>Лист1!B19</f>
        <v>уголок</v>
      </c>
      <c r="B314" s="219" t="s">
        <v>88</v>
      </c>
      <c r="C314" s="287"/>
      <c r="D314" s="216">
        <f>Лист1!C19*$A$294</f>
        <v>0.82</v>
      </c>
      <c r="E314" s="375">
        <f>Лист1!D19</f>
        <v>25</v>
      </c>
      <c r="F314" s="218">
        <f t="shared" si="12"/>
        <v>20.5</v>
      </c>
      <c r="G314" s="383"/>
    </row>
    <row r="315" spans="1:7" ht="15" customHeight="1" x14ac:dyDescent="0.25">
      <c r="A315" s="366" t="str">
        <f>Лист1!B20</f>
        <v>держатель зерк</v>
      </c>
      <c r="B315" s="219" t="s">
        <v>88</v>
      </c>
      <c r="C315" s="287"/>
      <c r="D315" s="216">
        <f>Лист1!C20*$A$294</f>
        <v>2.46</v>
      </c>
      <c r="E315" s="375">
        <f>Лист1!D20</f>
        <v>60</v>
      </c>
      <c r="F315" s="218">
        <f t="shared" si="12"/>
        <v>147.6</v>
      </c>
      <c r="G315" s="383"/>
    </row>
    <row r="316" spans="1:7" ht="15" customHeight="1" x14ac:dyDescent="0.25">
      <c r="A316" s="366" t="str">
        <f>Лист1!B21</f>
        <v>краска</v>
      </c>
      <c r="B316" s="219" t="s">
        <v>88</v>
      </c>
      <c r="C316" s="287"/>
      <c r="D316" s="216">
        <f>Лист1!C21*$A$294</f>
        <v>0.41</v>
      </c>
      <c r="E316" s="375">
        <f>Лист1!D21</f>
        <v>1195</v>
      </c>
      <c r="F316" s="218">
        <f t="shared" si="12"/>
        <v>489.95</v>
      </c>
      <c r="G316" s="383"/>
    </row>
    <row r="317" spans="1:7" ht="15" customHeight="1" x14ac:dyDescent="0.25">
      <c r="A317" s="366" t="str">
        <f>Лист1!B22</f>
        <v>колер</v>
      </c>
      <c r="B317" s="219" t="s">
        <v>88</v>
      </c>
      <c r="C317" s="287"/>
      <c r="D317" s="216">
        <f>Лист1!C22*$A$294</f>
        <v>3.69</v>
      </c>
      <c r="E317" s="375">
        <f>Лист1!D22</f>
        <v>50</v>
      </c>
      <c r="F317" s="218">
        <f t="shared" si="12"/>
        <v>184.5</v>
      </c>
      <c r="G317" s="383"/>
    </row>
    <row r="318" spans="1:7" ht="15" customHeight="1" x14ac:dyDescent="0.25">
      <c r="A318" s="366" t="str">
        <f>Лист1!B23</f>
        <v>эмаль</v>
      </c>
      <c r="B318" s="219" t="s">
        <v>88</v>
      </c>
      <c r="C318" s="287"/>
      <c r="D318" s="216">
        <f>Лист1!C23*$A$294</f>
        <v>0.41</v>
      </c>
      <c r="E318" s="375">
        <f>Лист1!D23</f>
        <v>250</v>
      </c>
      <c r="F318" s="218">
        <f t="shared" si="12"/>
        <v>102.5</v>
      </c>
      <c r="G318" s="383"/>
    </row>
    <row r="319" spans="1:7" ht="15" customHeight="1" x14ac:dyDescent="0.25">
      <c r="A319" s="366" t="str">
        <f>Лист1!B24</f>
        <v>Молоток</v>
      </c>
      <c r="B319" s="219" t="s">
        <v>88</v>
      </c>
      <c r="C319" s="287"/>
      <c r="D319" s="216">
        <f>Лист1!C24*$A$294</f>
        <v>1.23</v>
      </c>
      <c r="E319" s="375">
        <f>Лист1!D24</f>
        <v>100</v>
      </c>
      <c r="F319" s="218">
        <f t="shared" si="12"/>
        <v>123</v>
      </c>
      <c r="G319" s="383"/>
    </row>
    <row r="320" spans="1:7" ht="15" customHeight="1" x14ac:dyDescent="0.25">
      <c r="A320" s="366" t="str">
        <f>Лист1!B25</f>
        <v>Гвозди</v>
      </c>
      <c r="B320" s="219" t="s">
        <v>88</v>
      </c>
      <c r="C320" s="287"/>
      <c r="D320" s="216">
        <f>Лист1!C25*$A$294</f>
        <v>0.82</v>
      </c>
      <c r="E320" s="375">
        <f>Лист1!D25</f>
        <v>27.5</v>
      </c>
      <c r="F320" s="218">
        <f t="shared" si="12"/>
        <v>22.549999999999997</v>
      </c>
      <c r="G320" s="383"/>
    </row>
    <row r="321" spans="1:7" ht="15" customHeight="1" x14ac:dyDescent="0.25">
      <c r="A321" s="366" t="str">
        <f>Лист1!B26</f>
        <v>Тонер НР</v>
      </c>
      <c r="B321" s="219" t="s">
        <v>88</v>
      </c>
      <c r="C321" s="287"/>
      <c r="D321" s="216">
        <f>Лист1!C26*$A$294</f>
        <v>0.82</v>
      </c>
      <c r="E321" s="375">
        <f>Лист1!D26</f>
        <v>2200</v>
      </c>
      <c r="F321" s="218">
        <f t="shared" si="12"/>
        <v>1804</v>
      </c>
      <c r="G321" s="383"/>
    </row>
    <row r="322" spans="1:7" ht="15" customHeight="1" x14ac:dyDescent="0.25">
      <c r="A322" s="366" t="str">
        <f>Лист1!B27</f>
        <v>Тонер Canon</v>
      </c>
      <c r="B322" s="219" t="s">
        <v>88</v>
      </c>
      <c r="C322" s="216"/>
      <c r="D322" s="216">
        <f>Лист1!C27*$A$294</f>
        <v>0.41</v>
      </c>
      <c r="E322" s="375">
        <f>Лист1!D27</f>
        <v>1600</v>
      </c>
      <c r="F322" s="218">
        <f t="shared" si="12"/>
        <v>656</v>
      </c>
      <c r="G322" s="383"/>
    </row>
    <row r="323" spans="1:7" ht="15" customHeight="1" x14ac:dyDescent="0.25">
      <c r="A323" s="366" t="str">
        <f>Лист1!B28</f>
        <v>Эмаль</v>
      </c>
      <c r="B323" s="219" t="s">
        <v>88</v>
      </c>
      <c r="C323" s="216"/>
      <c r="D323" s="216">
        <f>Лист1!C28*$A$294</f>
        <v>0.82</v>
      </c>
      <c r="E323" s="375">
        <f>Лист1!D28</f>
        <v>180</v>
      </c>
      <c r="F323" s="218">
        <f t="shared" si="12"/>
        <v>147.6</v>
      </c>
      <c r="G323" s="383"/>
    </row>
    <row r="324" spans="1:7" ht="16.5" x14ac:dyDescent="0.25">
      <c r="A324" s="366" t="str">
        <f>Лист1!B29</f>
        <v>Эмаль аэрозоль</v>
      </c>
      <c r="B324" s="219" t="s">
        <v>88</v>
      </c>
      <c r="C324" s="216"/>
      <c r="D324" s="216">
        <f>Лист1!C29*$A$294</f>
        <v>3.28</v>
      </c>
      <c r="E324" s="375">
        <f>Лист1!D29</f>
        <v>216.5</v>
      </c>
      <c r="F324" s="218">
        <f t="shared" si="12"/>
        <v>710.12</v>
      </c>
      <c r="G324" s="383"/>
    </row>
    <row r="325" spans="1:7" ht="16.5" x14ac:dyDescent="0.25">
      <c r="A325" s="366" t="str">
        <f>Лист1!B30</f>
        <v>пакет майка</v>
      </c>
      <c r="B325" s="219" t="s">
        <v>88</v>
      </c>
      <c r="C325" s="216"/>
      <c r="D325" s="216">
        <f>Лист1!C30*$A$294</f>
        <v>0.41</v>
      </c>
      <c r="E325" s="375">
        <f>Лист1!D30</f>
        <v>5</v>
      </c>
      <c r="F325" s="218">
        <f t="shared" si="12"/>
        <v>2.0499999999999998</v>
      </c>
      <c r="G325" s="383"/>
    </row>
    <row r="326" spans="1:7" ht="16.5" x14ac:dyDescent="0.25">
      <c r="A326" s="366" t="str">
        <f>Лист1!B31</f>
        <v>шпилька резьбовая</v>
      </c>
      <c r="B326" s="219" t="s">
        <v>88</v>
      </c>
      <c r="C326" s="216"/>
      <c r="D326" s="216">
        <f>Лист1!C31*$A$294</f>
        <v>0.82</v>
      </c>
      <c r="E326" s="375">
        <f>Лист1!D31</f>
        <v>240</v>
      </c>
      <c r="F326" s="218">
        <f t="shared" si="12"/>
        <v>196.79999999999998</v>
      </c>
      <c r="G326" s="383"/>
    </row>
    <row r="327" spans="1:7" ht="16.5" x14ac:dyDescent="0.25">
      <c r="A327" s="366" t="str">
        <f>Лист1!B32</f>
        <v>сверло</v>
      </c>
      <c r="B327" s="219" t="s">
        <v>88</v>
      </c>
      <c r="C327" s="216"/>
      <c r="D327" s="216">
        <f>Лист1!C32*$A$294</f>
        <v>0.41</v>
      </c>
      <c r="E327" s="375">
        <f>Лист1!D32</f>
        <v>359</v>
      </c>
      <c r="F327" s="218">
        <f t="shared" si="12"/>
        <v>147.19</v>
      </c>
      <c r="G327" s="383"/>
    </row>
    <row r="328" spans="1:7" ht="16.5" x14ac:dyDescent="0.25">
      <c r="A328" s="366" t="str">
        <f>Лист1!B33</f>
        <v>антифриз</v>
      </c>
      <c r="B328" s="219" t="s">
        <v>88</v>
      </c>
      <c r="C328" s="310"/>
      <c r="D328" s="216">
        <f>Лист1!C33*$A$294</f>
        <v>0.82</v>
      </c>
      <c r="E328" s="375">
        <f>Лист1!D33</f>
        <v>560</v>
      </c>
      <c r="F328" s="218">
        <f t="shared" si="12"/>
        <v>459.2</v>
      </c>
      <c r="G328" s="383"/>
    </row>
    <row r="329" spans="1:7" ht="16.5" x14ac:dyDescent="0.25">
      <c r="A329" s="366" t="str">
        <f>Лист1!B34</f>
        <v>ледоруб</v>
      </c>
      <c r="B329" s="219" t="s">
        <v>88</v>
      </c>
      <c r="C329" s="310"/>
      <c r="D329" s="216">
        <f>Лист1!C34*$A$294</f>
        <v>0.41</v>
      </c>
      <c r="E329" s="375">
        <f>Лист1!D34</f>
        <v>677</v>
      </c>
      <c r="F329" s="218">
        <f t="shared" si="12"/>
        <v>277.57</v>
      </c>
      <c r="G329" s="383"/>
    </row>
    <row r="330" spans="1:7" ht="16.5" x14ac:dyDescent="0.25">
      <c r="A330" s="366" t="str">
        <f>Лист1!B35</f>
        <v>труба</v>
      </c>
      <c r="B330" s="219" t="s">
        <v>88</v>
      </c>
      <c r="C330" s="310"/>
      <c r="D330" s="216">
        <f>Лист1!C35*$A$294</f>
        <v>1.23</v>
      </c>
      <c r="E330" s="375">
        <f>Лист1!D35</f>
        <v>650</v>
      </c>
      <c r="F330" s="218">
        <f t="shared" si="12"/>
        <v>799.5</v>
      </c>
      <c r="G330" s="383"/>
    </row>
    <row r="331" spans="1:7" ht="16.5" x14ac:dyDescent="0.25">
      <c r="A331" s="366" t="str">
        <f>Лист1!B36</f>
        <v>кронштейн</v>
      </c>
      <c r="B331" s="219" t="s">
        <v>88</v>
      </c>
      <c r="C331" s="310"/>
      <c r="D331" s="216">
        <f>Лист1!C36*$A$294</f>
        <v>0.82</v>
      </c>
      <c r="E331" s="375">
        <f>Лист1!D36</f>
        <v>32</v>
      </c>
      <c r="F331" s="218">
        <f t="shared" si="12"/>
        <v>26.24</v>
      </c>
      <c r="G331" s="383"/>
    </row>
    <row r="332" spans="1:7" ht="16.5" x14ac:dyDescent="0.25">
      <c r="A332" s="366" t="str">
        <f>Лист1!B37</f>
        <v>электрод</v>
      </c>
      <c r="B332" s="219" t="s">
        <v>88</v>
      </c>
      <c r="C332" s="220"/>
      <c r="D332" s="216">
        <f>Лист1!C37*$A$294</f>
        <v>0.41</v>
      </c>
      <c r="E332" s="375">
        <f>Лист1!D37</f>
        <v>250</v>
      </c>
      <c r="F332" s="218">
        <f t="shared" si="12"/>
        <v>102.5</v>
      </c>
      <c r="G332" s="383"/>
    </row>
    <row r="333" spans="1:7" ht="16.5" x14ac:dyDescent="0.25">
      <c r="A333" s="366" t="str">
        <f>Лист1!B38</f>
        <v>круг отрезной</v>
      </c>
      <c r="B333" s="219" t="s">
        <v>88</v>
      </c>
      <c r="C333" s="310"/>
      <c r="D333" s="216">
        <f>Лист1!C38*$A$294</f>
        <v>4.51</v>
      </c>
      <c r="E333" s="375">
        <f>Лист1!D38</f>
        <v>50</v>
      </c>
      <c r="F333" s="218">
        <f t="shared" si="12"/>
        <v>225.5</v>
      </c>
      <c r="G333" s="383"/>
    </row>
    <row r="334" spans="1:7" ht="16.5" x14ac:dyDescent="0.25">
      <c r="A334" s="366" t="str">
        <f>Лист1!B39</f>
        <v>круг отрезной</v>
      </c>
      <c r="B334" s="219" t="s">
        <v>88</v>
      </c>
      <c r="C334" s="310"/>
      <c r="D334" s="216">
        <f>Лист1!C39*$A$294</f>
        <v>1.23</v>
      </c>
      <c r="E334" s="375">
        <f>Лист1!D39</f>
        <v>41</v>
      </c>
      <c r="F334" s="218">
        <f t="shared" si="12"/>
        <v>50.43</v>
      </c>
      <c r="G334" s="383"/>
    </row>
    <row r="335" spans="1:7" ht="16.5" x14ac:dyDescent="0.25">
      <c r="A335" s="366" t="str">
        <f>Лист1!B40</f>
        <v>круг отрезной</v>
      </c>
      <c r="B335" s="219" t="s">
        <v>88</v>
      </c>
      <c r="C335" s="310"/>
      <c r="D335" s="216">
        <f>Лист1!C40*$A$294</f>
        <v>0.41</v>
      </c>
      <c r="E335" s="375">
        <f>Лист1!D40</f>
        <v>50</v>
      </c>
      <c r="F335" s="218">
        <f t="shared" si="12"/>
        <v>20.5</v>
      </c>
      <c r="G335" s="383"/>
    </row>
    <row r="336" spans="1:7" ht="16.5" x14ac:dyDescent="0.25">
      <c r="A336" s="366" t="str">
        <f>Лист1!B41</f>
        <v>круг зачистной</v>
      </c>
      <c r="B336" s="219" t="s">
        <v>88</v>
      </c>
      <c r="C336" s="309"/>
      <c r="D336" s="216">
        <f>Лист1!C41*$A$294</f>
        <v>0.41</v>
      </c>
      <c r="E336" s="375">
        <f>Лист1!D41</f>
        <v>144</v>
      </c>
      <c r="F336" s="218">
        <f t="shared" si="12"/>
        <v>59.04</v>
      </c>
    </row>
    <row r="337" spans="1:6" ht="16.5" x14ac:dyDescent="0.25">
      <c r="A337" s="366" t="str">
        <f>Лист1!B42</f>
        <v>кабель-канал</v>
      </c>
      <c r="B337" s="219" t="s">
        <v>88</v>
      </c>
      <c r="C337" s="309"/>
      <c r="D337" s="216">
        <f>Лист1!C42*$A$294</f>
        <v>0.41</v>
      </c>
      <c r="E337" s="375">
        <f>Лист1!D42</f>
        <v>95</v>
      </c>
      <c r="F337" s="218">
        <f t="shared" si="12"/>
        <v>38.949999999999996</v>
      </c>
    </row>
    <row r="338" spans="1:6" ht="16.5" x14ac:dyDescent="0.25">
      <c r="A338" s="366" t="str">
        <f>Лист1!B43</f>
        <v>саморез</v>
      </c>
      <c r="B338" s="219" t="s">
        <v>88</v>
      </c>
      <c r="C338" s="309"/>
      <c r="D338" s="216">
        <f>Лист1!C43*$A$294</f>
        <v>20.5</v>
      </c>
      <c r="E338" s="375">
        <f>Лист1!D43</f>
        <v>3.5</v>
      </c>
      <c r="F338" s="218">
        <f t="shared" si="12"/>
        <v>71.75</v>
      </c>
    </row>
    <row r="339" spans="1:6" ht="16.5" x14ac:dyDescent="0.25">
      <c r="A339" s="366" t="str">
        <f>Лист1!B44</f>
        <v>лопата</v>
      </c>
      <c r="B339" s="219" t="s">
        <v>88</v>
      </c>
      <c r="C339" s="309"/>
      <c r="D339" s="216">
        <f>Лист1!C44*$A$294</f>
        <v>0.82</v>
      </c>
      <c r="E339" s="375">
        <f>Лист1!D44</f>
        <v>219</v>
      </c>
      <c r="F339" s="218">
        <f t="shared" si="12"/>
        <v>179.57999999999998</v>
      </c>
    </row>
    <row r="340" spans="1:6" ht="16.5" x14ac:dyDescent="0.25">
      <c r="A340" s="366" t="str">
        <f>Лист1!B45</f>
        <v>черенок</v>
      </c>
      <c r="B340" s="219" t="s">
        <v>88</v>
      </c>
      <c r="C340" s="309"/>
      <c r="D340" s="216">
        <f>Лист1!C45*$A$294</f>
        <v>0.82</v>
      </c>
      <c r="E340" s="375">
        <f>Лист1!D45</f>
        <v>80</v>
      </c>
      <c r="F340" s="218">
        <f t="shared" si="12"/>
        <v>65.599999999999994</v>
      </c>
    </row>
    <row r="341" spans="1:6" ht="16.5" x14ac:dyDescent="0.25">
      <c r="A341" s="366" t="str">
        <f>Лист1!B46</f>
        <v>домкрат</v>
      </c>
      <c r="B341" s="219" t="s">
        <v>88</v>
      </c>
      <c r="C341" s="309"/>
      <c r="D341" s="216">
        <f>Лист1!C46*$A$294</f>
        <v>0.41</v>
      </c>
      <c r="E341" s="375">
        <f>Лист1!D46</f>
        <v>2058</v>
      </c>
      <c r="F341" s="218">
        <f t="shared" si="12"/>
        <v>843.78</v>
      </c>
    </row>
    <row r="342" spans="1:6" ht="16.5" x14ac:dyDescent="0.25">
      <c r="A342" s="366" t="str">
        <f>Лист1!B47</f>
        <v>стяжка</v>
      </c>
      <c r="B342" s="219" t="s">
        <v>88</v>
      </c>
      <c r="C342" s="309"/>
      <c r="D342" s="216">
        <f>Лист1!C47*$A$294</f>
        <v>0.41</v>
      </c>
      <c r="E342" s="375">
        <f>Лист1!D47</f>
        <v>277</v>
      </c>
      <c r="F342" s="218">
        <f t="shared" si="12"/>
        <v>113.57</v>
      </c>
    </row>
    <row r="343" spans="1:6" ht="16.5" x14ac:dyDescent="0.25">
      <c r="A343" s="366" t="str">
        <f>Лист1!B48</f>
        <v>смазка</v>
      </c>
      <c r="B343" s="219" t="s">
        <v>88</v>
      </c>
      <c r="C343" s="309"/>
      <c r="D343" s="216">
        <f>Лист1!C48*$A$294</f>
        <v>0.41</v>
      </c>
      <c r="E343" s="375">
        <f>Лист1!D48</f>
        <v>299</v>
      </c>
      <c r="F343" s="218">
        <f t="shared" si="12"/>
        <v>122.58999999999999</v>
      </c>
    </row>
    <row r="344" spans="1:6" ht="16.5" x14ac:dyDescent="0.25">
      <c r="A344" s="366" t="str">
        <f>Лист1!B49</f>
        <v>лопата</v>
      </c>
      <c r="B344" s="219" t="s">
        <v>88</v>
      </c>
      <c r="C344" s="309"/>
      <c r="D344" s="216">
        <f>Лист1!C49*$A$294</f>
        <v>0.41</v>
      </c>
      <c r="E344" s="375">
        <f>Лист1!D49</f>
        <v>250</v>
      </c>
      <c r="F344" s="218">
        <f t="shared" si="12"/>
        <v>102.5</v>
      </c>
    </row>
    <row r="345" spans="1:6" ht="16.5" x14ac:dyDescent="0.25">
      <c r="A345" s="366" t="str">
        <f>Лист1!B50</f>
        <v>ключи</v>
      </c>
      <c r="B345" s="219" t="s">
        <v>88</v>
      </c>
      <c r="C345" s="309"/>
      <c r="D345" s="216">
        <f>Лист1!C50*$A$294</f>
        <v>0.41</v>
      </c>
      <c r="E345" s="375">
        <f>Лист1!D50</f>
        <v>245</v>
      </c>
      <c r="F345" s="218">
        <f t="shared" si="12"/>
        <v>100.44999999999999</v>
      </c>
    </row>
    <row r="346" spans="1:6" ht="16.5" x14ac:dyDescent="0.25">
      <c r="A346" s="366" t="str">
        <f>Лист1!B51</f>
        <v>болт</v>
      </c>
      <c r="B346" s="219" t="s">
        <v>88</v>
      </c>
      <c r="C346" s="309"/>
      <c r="D346" s="216">
        <f>Лист1!C51*$A$294</f>
        <v>1.64</v>
      </c>
      <c r="E346" s="375">
        <f>Лист1!D51</f>
        <v>10</v>
      </c>
      <c r="F346" s="218">
        <f t="shared" si="12"/>
        <v>16.399999999999999</v>
      </c>
    </row>
    <row r="347" spans="1:6" ht="16.5" x14ac:dyDescent="0.25">
      <c r="A347" s="366" t="str">
        <f>Лист1!B52</f>
        <v>гайка</v>
      </c>
      <c r="B347" s="219" t="s">
        <v>88</v>
      </c>
      <c r="C347" s="309"/>
      <c r="D347" s="216">
        <f>Лист1!C52*$A$294</f>
        <v>1.64</v>
      </c>
      <c r="E347" s="375">
        <f>Лист1!D52</f>
        <v>2</v>
      </c>
      <c r="F347" s="218">
        <f t="shared" si="12"/>
        <v>3.28</v>
      </c>
    </row>
    <row r="348" spans="1:6" ht="16.5" x14ac:dyDescent="0.25">
      <c r="A348" s="366" t="str">
        <f>Лист1!B53</f>
        <v>эмаль аэрозоль</v>
      </c>
      <c r="B348" s="219" t="s">
        <v>88</v>
      </c>
      <c r="C348" s="309"/>
      <c r="D348" s="216">
        <f>Лист1!C53*$A$294</f>
        <v>1.23</v>
      </c>
      <c r="E348" s="375">
        <f>Лист1!D53</f>
        <v>226</v>
      </c>
      <c r="F348" s="218">
        <f t="shared" si="12"/>
        <v>277.98</v>
      </c>
    </row>
    <row r="349" spans="1:6" ht="16.5" x14ac:dyDescent="0.25">
      <c r="A349" s="366" t="str">
        <f>Лист1!B54</f>
        <v>бумага нажд</v>
      </c>
      <c r="B349" s="219" t="s">
        <v>88</v>
      </c>
      <c r="C349" s="309"/>
      <c r="D349" s="216">
        <f>Лист1!C54*$A$294</f>
        <v>8.1999999999999993</v>
      </c>
      <c r="E349" s="375">
        <f>Лист1!D54</f>
        <v>17</v>
      </c>
      <c r="F349" s="218">
        <f t="shared" si="12"/>
        <v>139.39999999999998</v>
      </c>
    </row>
    <row r="350" spans="1:6" ht="16.5" x14ac:dyDescent="0.25">
      <c r="A350" s="366" t="str">
        <f>Лист1!B55</f>
        <v>круг отрезной</v>
      </c>
      <c r="B350" s="219" t="s">
        <v>88</v>
      </c>
      <c r="C350" s="287"/>
      <c r="D350" s="216">
        <f>Лист1!C55*$A$294</f>
        <v>4.0999999999999996</v>
      </c>
      <c r="E350" s="375">
        <f>Лист1!D55</f>
        <v>34</v>
      </c>
      <c r="F350" s="218">
        <f t="shared" si="12"/>
        <v>139.39999999999998</v>
      </c>
    </row>
    <row r="351" spans="1:6" ht="16.5" x14ac:dyDescent="0.25">
      <c r="A351" s="366" t="str">
        <f>Лист1!B56</f>
        <v>герметик</v>
      </c>
      <c r="B351" s="219" t="s">
        <v>88</v>
      </c>
      <c r="C351" s="287"/>
      <c r="D351" s="216">
        <f>Лист1!C56*$A$294</f>
        <v>0.41</v>
      </c>
      <c r="E351" s="375">
        <f>Лист1!D56</f>
        <v>266</v>
      </c>
      <c r="F351" s="218">
        <f t="shared" si="12"/>
        <v>109.05999999999999</v>
      </c>
    </row>
    <row r="352" spans="1:6" ht="16.5" x14ac:dyDescent="0.25">
      <c r="A352" s="366" t="str">
        <f>Лист1!B57</f>
        <v>кенгуру</v>
      </c>
      <c r="B352" s="219" t="s">
        <v>88</v>
      </c>
      <c r="C352" s="287"/>
      <c r="D352" s="216">
        <f>Лист1!C57*$A$294</f>
        <v>0.82</v>
      </c>
      <c r="E352" s="375">
        <f>Лист1!D57</f>
        <v>274</v>
      </c>
      <c r="F352" s="218">
        <f t="shared" si="12"/>
        <v>224.67999999999998</v>
      </c>
    </row>
    <row r="353" spans="1:6" ht="16.5" x14ac:dyDescent="0.25">
      <c r="A353" s="366" t="str">
        <f>Лист1!B58</f>
        <v>цемент 50 кг</v>
      </c>
      <c r="B353" s="219" t="s">
        <v>88</v>
      </c>
      <c r="C353" s="287"/>
      <c r="D353" s="216">
        <f>Лист1!C58*$A$294</f>
        <v>0.82</v>
      </c>
      <c r="E353" s="375">
        <f>Лист1!D58</f>
        <v>800</v>
      </c>
      <c r="F353" s="218">
        <f t="shared" si="12"/>
        <v>656</v>
      </c>
    </row>
    <row r="354" spans="1:6" ht="16.5" x14ac:dyDescent="0.25">
      <c r="A354" s="366" t="str">
        <f>Лист1!B59</f>
        <v>эмаль аэрозоль</v>
      </c>
      <c r="B354" s="219" t="s">
        <v>88</v>
      </c>
      <c r="C354" s="287"/>
      <c r="D354" s="216">
        <f>Лист1!C59*$A$294</f>
        <v>2.0499999999999998</v>
      </c>
      <c r="E354" s="375">
        <f>Лист1!D59</f>
        <v>193</v>
      </c>
      <c r="F354" s="218">
        <f t="shared" si="12"/>
        <v>395.65</v>
      </c>
    </row>
    <row r="355" spans="1:6" ht="16.5" x14ac:dyDescent="0.25">
      <c r="A355" s="366" t="str">
        <f>Лист1!B60</f>
        <v>эмаль аэрозоль</v>
      </c>
      <c r="B355" s="219" t="s">
        <v>88</v>
      </c>
      <c r="C355" s="287"/>
      <c r="D355" s="216">
        <f>Лист1!C60*$A$294</f>
        <v>2.0499999999999998</v>
      </c>
      <c r="E355" s="375">
        <f>Лист1!D60</f>
        <v>185</v>
      </c>
      <c r="F355" s="218">
        <f t="shared" si="12"/>
        <v>379.24999999999994</v>
      </c>
    </row>
    <row r="356" spans="1:6" ht="16.5" x14ac:dyDescent="0.25">
      <c r="A356" s="366" t="str">
        <f>Лист1!B61</f>
        <v>рукав резина</v>
      </c>
      <c r="B356" s="219" t="s">
        <v>88</v>
      </c>
      <c r="C356" s="287"/>
      <c r="D356" s="216">
        <f>Лист1!C61*$A$294</f>
        <v>2.46</v>
      </c>
      <c r="E356" s="375">
        <f>Лист1!D61</f>
        <v>280</v>
      </c>
      <c r="F356" s="218">
        <f t="shared" si="12"/>
        <v>688.8</v>
      </c>
    </row>
    <row r="357" spans="1:6" ht="16.5" x14ac:dyDescent="0.25">
      <c r="A357" s="366" t="str">
        <f>Лист1!B62</f>
        <v>лампа</v>
      </c>
      <c r="B357" s="219" t="s">
        <v>88</v>
      </c>
      <c r="C357" s="287"/>
      <c r="D357" s="216">
        <f>Лист1!C62*$A$294</f>
        <v>2.0499999999999998</v>
      </c>
      <c r="E357" s="375">
        <f>Лист1!D62</f>
        <v>139</v>
      </c>
      <c r="F357" s="218">
        <f t="shared" si="12"/>
        <v>284.95</v>
      </c>
    </row>
    <row r="358" spans="1:6" ht="16.5" x14ac:dyDescent="0.25">
      <c r="A358" s="366" t="str">
        <f>Лист1!B63</f>
        <v>лампа энергосберегающая</v>
      </c>
      <c r="B358" s="219" t="s">
        <v>88</v>
      </c>
      <c r="C358" s="287"/>
      <c r="D358" s="216">
        <f>Лист1!C63*$A$294</f>
        <v>0.41</v>
      </c>
      <c r="E358" s="375">
        <f>Лист1!D63</f>
        <v>190</v>
      </c>
      <c r="F358" s="218">
        <f t="shared" si="12"/>
        <v>77.899999999999991</v>
      </c>
    </row>
    <row r="359" spans="1:6" ht="16.5" x14ac:dyDescent="0.25">
      <c r="A359" s="366" t="str">
        <f>Лист1!B64</f>
        <v>антифриз</v>
      </c>
      <c r="B359" s="219" t="s">
        <v>88</v>
      </c>
      <c r="C359" s="287"/>
      <c r="D359" s="216">
        <f>Лист1!C64*$A$294</f>
        <v>0.41</v>
      </c>
      <c r="E359" s="375">
        <f>Лист1!D64</f>
        <v>630</v>
      </c>
      <c r="F359" s="218">
        <f t="shared" si="12"/>
        <v>258.3</v>
      </c>
    </row>
    <row r="360" spans="1:6" ht="16.5" x14ac:dyDescent="0.25">
      <c r="A360" s="366" t="str">
        <f>Лист1!B65</f>
        <v>коврик автомобильный</v>
      </c>
      <c r="B360" s="219" t="s">
        <v>88</v>
      </c>
      <c r="C360" s="287"/>
      <c r="D360" s="216">
        <f>Лист1!C65*$A$294</f>
        <v>0.41</v>
      </c>
      <c r="E360" s="375">
        <f>Лист1!D65</f>
        <v>3400</v>
      </c>
      <c r="F360" s="218">
        <f t="shared" si="12"/>
        <v>1394</v>
      </c>
    </row>
    <row r="361" spans="1:6" ht="16.5" x14ac:dyDescent="0.25">
      <c r="A361" s="366" t="str">
        <f>Лист1!B66</f>
        <v>краска акрил</v>
      </c>
      <c r="B361" s="219" t="s">
        <v>88</v>
      </c>
      <c r="C361" s="287"/>
      <c r="D361" s="216">
        <f>Лист1!C66*$A$294</f>
        <v>1.23</v>
      </c>
      <c r="E361" s="375">
        <f>Лист1!D66</f>
        <v>1135</v>
      </c>
      <c r="F361" s="218">
        <f t="shared" si="12"/>
        <v>1396.05</v>
      </c>
    </row>
    <row r="362" spans="1:6" ht="16.5" x14ac:dyDescent="0.25">
      <c r="A362" s="366" t="str">
        <f>Лист1!B67</f>
        <v>валик</v>
      </c>
      <c r="B362" s="219" t="s">
        <v>88</v>
      </c>
      <c r="C362" s="287"/>
      <c r="D362" s="216">
        <f>Лист1!C67*$A$294</f>
        <v>1.64</v>
      </c>
      <c r="E362" s="375">
        <f>Лист1!D67</f>
        <v>72.5</v>
      </c>
      <c r="F362" s="218">
        <f t="shared" si="12"/>
        <v>118.89999999999999</v>
      </c>
    </row>
    <row r="363" spans="1:6" ht="16.5" x14ac:dyDescent="0.25">
      <c r="A363" s="366" t="str">
        <f>Лист1!B68</f>
        <v>скотч маляр</v>
      </c>
      <c r="B363" s="219" t="s">
        <v>88</v>
      </c>
      <c r="C363" s="287"/>
      <c r="D363" s="216">
        <f>Лист1!C68*$A$294</f>
        <v>2.0499999999999998</v>
      </c>
      <c r="E363" s="375">
        <f>Лист1!D68</f>
        <v>115</v>
      </c>
      <c r="F363" s="218">
        <f t="shared" ref="F363:F426" si="13">D363*E363</f>
        <v>235.74999999999997</v>
      </c>
    </row>
    <row r="364" spans="1:6" ht="16.5" x14ac:dyDescent="0.25">
      <c r="A364" s="366" t="str">
        <f>Лист1!B69</f>
        <v xml:space="preserve">колер </v>
      </c>
      <c r="B364" s="219" t="s">
        <v>88</v>
      </c>
      <c r="C364" s="287"/>
      <c r="D364" s="216">
        <f>Лист1!C69*$A$294</f>
        <v>2.0499999999999998</v>
      </c>
      <c r="E364" s="375">
        <f>Лист1!D69</f>
        <v>161</v>
      </c>
      <c r="F364" s="218">
        <f t="shared" si="13"/>
        <v>330.04999999999995</v>
      </c>
    </row>
    <row r="365" spans="1:6" ht="16.5" x14ac:dyDescent="0.25">
      <c r="A365" s="366" t="str">
        <f>Лист1!B70</f>
        <v>скотч маляр</v>
      </c>
      <c r="B365" s="219" t="s">
        <v>88</v>
      </c>
      <c r="C365" s="287"/>
      <c r="D365" s="216">
        <f>Лист1!C70*$A$294</f>
        <v>4.51</v>
      </c>
      <c r="E365" s="375">
        <f>Лист1!D70</f>
        <v>50</v>
      </c>
      <c r="F365" s="218">
        <f t="shared" si="13"/>
        <v>225.5</v>
      </c>
    </row>
    <row r="366" spans="1:6" ht="16.5" x14ac:dyDescent="0.25">
      <c r="A366" s="366" t="str">
        <f>Лист1!B71</f>
        <v>паста колеровочная</v>
      </c>
      <c r="B366" s="219" t="s">
        <v>88</v>
      </c>
      <c r="C366" s="287"/>
      <c r="D366" s="216">
        <f>Лист1!C71*$A$294</f>
        <v>4.0999999999999996</v>
      </c>
      <c r="E366" s="375">
        <f>Лист1!D71</f>
        <v>109</v>
      </c>
      <c r="F366" s="218">
        <f t="shared" si="13"/>
        <v>446.9</v>
      </c>
    </row>
    <row r="367" spans="1:6" ht="16.5" x14ac:dyDescent="0.25">
      <c r="A367" s="366" t="str">
        <f>Лист1!B72</f>
        <v>колер</v>
      </c>
      <c r="B367" s="219" t="s">
        <v>88</v>
      </c>
      <c r="C367" s="287"/>
      <c r="D367" s="216">
        <f>Лист1!C72*$A$294</f>
        <v>3.28</v>
      </c>
      <c r="E367" s="375">
        <f>Лист1!D72</f>
        <v>50</v>
      </c>
      <c r="F367" s="218">
        <f t="shared" si="13"/>
        <v>164</v>
      </c>
    </row>
    <row r="368" spans="1:6" ht="16.5" x14ac:dyDescent="0.25">
      <c r="A368" s="366" t="str">
        <f>Лист1!B73</f>
        <v>краска акрил</v>
      </c>
      <c r="B368" s="219" t="s">
        <v>88</v>
      </c>
      <c r="C368" s="287"/>
      <c r="D368" s="216">
        <f>Лист1!C73*$A$294</f>
        <v>0.41</v>
      </c>
      <c r="E368" s="375">
        <f>Лист1!D73</f>
        <v>360</v>
      </c>
      <c r="F368" s="218">
        <f t="shared" si="13"/>
        <v>147.6</v>
      </c>
    </row>
    <row r="369" spans="1:9" ht="16.5" x14ac:dyDescent="0.25">
      <c r="A369" s="366" t="str">
        <f>Лист1!B74</f>
        <v>насадка на валик</v>
      </c>
      <c r="B369" s="219" t="s">
        <v>88</v>
      </c>
      <c r="C369" s="287"/>
      <c r="D369" s="216">
        <f>Лист1!C74*$A$294</f>
        <v>1.64</v>
      </c>
      <c r="E369" s="375">
        <f>Лист1!D74</f>
        <v>20</v>
      </c>
      <c r="F369" s="218">
        <f t="shared" si="13"/>
        <v>32.799999999999997</v>
      </c>
    </row>
    <row r="370" spans="1:9" ht="14.45" customHeight="1" x14ac:dyDescent="0.25">
      <c r="A370" s="366" t="str">
        <f>Лист1!B75</f>
        <v>HDMI кабель 5м</v>
      </c>
      <c r="B370" s="219" t="s">
        <v>88</v>
      </c>
      <c r="C370" s="287"/>
      <c r="D370" s="216">
        <f>Лист1!C75*$A$294</f>
        <v>0.41</v>
      </c>
      <c r="E370" s="375">
        <f>Лист1!D75</f>
        <v>600</v>
      </c>
      <c r="F370" s="218">
        <f t="shared" si="13"/>
        <v>245.99999999999997</v>
      </c>
      <c r="H370" s="306"/>
      <c r="I370" s="115"/>
    </row>
    <row r="371" spans="1:9" ht="16.5" x14ac:dyDescent="0.25">
      <c r="A371" s="366" t="str">
        <f>Лист1!B76</f>
        <v>HDMI кабель 10м</v>
      </c>
      <c r="B371" s="219" t="s">
        <v>88</v>
      </c>
      <c r="C371" s="287"/>
      <c r="D371" s="216">
        <f>Лист1!C76*$A$294</f>
        <v>0.41</v>
      </c>
      <c r="E371" s="375">
        <f>Лист1!D76</f>
        <v>900</v>
      </c>
      <c r="F371" s="218">
        <f t="shared" si="13"/>
        <v>369</v>
      </c>
      <c r="H371" s="306"/>
      <c r="I371" s="115"/>
    </row>
    <row r="372" spans="1:9" ht="16.5" x14ac:dyDescent="0.25">
      <c r="A372" s="366" t="str">
        <f>Лист1!B77</f>
        <v>сумка для ноутбука</v>
      </c>
      <c r="B372" s="219" t="s">
        <v>88</v>
      </c>
      <c r="C372" s="287"/>
      <c r="D372" s="216">
        <f>Лист1!C77*$A$294</f>
        <v>1.23</v>
      </c>
      <c r="E372" s="375">
        <f>Лист1!D77</f>
        <v>1400</v>
      </c>
      <c r="F372" s="218">
        <f t="shared" si="13"/>
        <v>1722</v>
      </c>
      <c r="H372" s="306"/>
      <c r="I372" s="115"/>
    </row>
    <row r="373" spans="1:9" ht="16.899999999999999" customHeight="1" x14ac:dyDescent="0.25">
      <c r="A373" s="366" t="str">
        <f>Лист1!B78</f>
        <v>флеш карта</v>
      </c>
      <c r="B373" s="219" t="s">
        <v>88</v>
      </c>
      <c r="C373" s="287"/>
      <c r="D373" s="216">
        <f>Лист1!C78*$A$294</f>
        <v>2.46</v>
      </c>
      <c r="E373" s="375">
        <f>Лист1!D78</f>
        <v>700</v>
      </c>
      <c r="F373" s="218">
        <f t="shared" si="13"/>
        <v>1722</v>
      </c>
      <c r="H373" s="306"/>
      <c r="I373" s="115"/>
    </row>
    <row r="374" spans="1:9" ht="15.6" customHeight="1" x14ac:dyDescent="0.25">
      <c r="A374" s="366" t="str">
        <f>Лист1!B79</f>
        <v>кулер для процессора</v>
      </c>
      <c r="B374" s="219" t="s">
        <v>88</v>
      </c>
      <c r="C374" s="287"/>
      <c r="D374" s="216">
        <f>Лист1!C79*$A$294</f>
        <v>0.41</v>
      </c>
      <c r="E374" s="375">
        <f>Лист1!D79</f>
        <v>700</v>
      </c>
      <c r="F374" s="218">
        <f t="shared" si="13"/>
        <v>287</v>
      </c>
      <c r="H374" s="306"/>
      <c r="I374" s="115"/>
    </row>
    <row r="375" spans="1:9" ht="16.5" x14ac:dyDescent="0.25">
      <c r="A375" s="366" t="str">
        <f>Лист1!B80</f>
        <v>блок питания</v>
      </c>
      <c r="B375" s="219" t="s">
        <v>88</v>
      </c>
      <c r="C375" s="287"/>
      <c r="D375" s="216">
        <f>Лист1!C80*$A$294</f>
        <v>0.41</v>
      </c>
      <c r="E375" s="375">
        <f>Лист1!D80</f>
        <v>1650</v>
      </c>
      <c r="F375" s="218">
        <f t="shared" si="13"/>
        <v>676.5</v>
      </c>
      <c r="H375" s="306"/>
      <c r="I375" s="115"/>
    </row>
    <row r="376" spans="1:9" ht="16.5" x14ac:dyDescent="0.25">
      <c r="A376" s="366" t="str">
        <f>Лист1!B81</f>
        <v>клавиатура</v>
      </c>
      <c r="B376" s="219" t="s">
        <v>88</v>
      </c>
      <c r="C376" s="287"/>
      <c r="D376" s="216">
        <f>Лист1!C81*$A$294</f>
        <v>1.23</v>
      </c>
      <c r="E376" s="375">
        <f>Лист1!D81</f>
        <v>1700</v>
      </c>
      <c r="F376" s="218">
        <f t="shared" si="13"/>
        <v>2091</v>
      </c>
      <c r="H376" s="306"/>
      <c r="I376" s="115"/>
    </row>
    <row r="377" spans="1:9" ht="16.5" x14ac:dyDescent="0.25">
      <c r="A377" s="366" t="str">
        <f>Лист1!B82</f>
        <v>снеговая лопата</v>
      </c>
      <c r="B377" s="219" t="s">
        <v>88</v>
      </c>
      <c r="C377" s="287"/>
      <c r="D377" s="216">
        <f>Лист1!C82*$A$294</f>
        <v>0.41</v>
      </c>
      <c r="E377" s="375">
        <f>Лист1!D82</f>
        <v>340</v>
      </c>
      <c r="F377" s="218">
        <f t="shared" si="13"/>
        <v>139.4</v>
      </c>
      <c r="H377" s="306"/>
      <c r="I377" s="115"/>
    </row>
    <row r="378" spans="1:9" ht="16.5" x14ac:dyDescent="0.25">
      <c r="A378" s="366" t="str">
        <f>Лист1!B83</f>
        <v>уголок</v>
      </c>
      <c r="B378" s="219" t="s">
        <v>88</v>
      </c>
      <c r="C378" s="287"/>
      <c r="D378" s="216">
        <f>Лист1!C83*$A$294</f>
        <v>8.1999999999999993</v>
      </c>
      <c r="E378" s="375">
        <f>Лист1!D83</f>
        <v>10</v>
      </c>
      <c r="F378" s="218">
        <f t="shared" si="13"/>
        <v>82</v>
      </c>
      <c r="H378" s="306"/>
      <c r="I378" s="115"/>
    </row>
    <row r="379" spans="1:9" ht="16.5" x14ac:dyDescent="0.25">
      <c r="A379" s="366" t="str">
        <f>Лист1!B84</f>
        <v>перчатки</v>
      </c>
      <c r="B379" s="219" t="s">
        <v>88</v>
      </c>
      <c r="C379" s="287"/>
      <c r="D379" s="216">
        <f>Лист1!C84*$A$294</f>
        <v>0.41</v>
      </c>
      <c r="E379" s="375">
        <f>Лист1!D84</f>
        <v>160</v>
      </c>
      <c r="F379" s="218">
        <f t="shared" si="13"/>
        <v>65.599999999999994</v>
      </c>
      <c r="H379" s="306"/>
      <c r="I379" s="115"/>
    </row>
    <row r="380" spans="1:9" ht="16.5" x14ac:dyDescent="0.25">
      <c r="A380" s="366" t="str">
        <f>Лист1!B85</f>
        <v>шпатель</v>
      </c>
      <c r="B380" s="219" t="s">
        <v>88</v>
      </c>
      <c r="C380" s="287"/>
      <c r="D380" s="216">
        <f>Лист1!C85*$A$294</f>
        <v>0.41</v>
      </c>
      <c r="E380" s="375">
        <f>Лист1!D85</f>
        <v>70</v>
      </c>
      <c r="F380" s="218">
        <f t="shared" si="13"/>
        <v>28.7</v>
      </c>
      <c r="H380" s="306"/>
      <c r="I380" s="115"/>
    </row>
    <row r="381" spans="1:9" ht="16.5" x14ac:dyDescent="0.25">
      <c r="A381" s="366" t="str">
        <f>Лист1!B86</f>
        <v>шпатлевка</v>
      </c>
      <c r="B381" s="219" t="s">
        <v>88</v>
      </c>
      <c r="C381" s="287"/>
      <c r="D381" s="216">
        <f>Лист1!C86*$A$294</f>
        <v>0.41</v>
      </c>
      <c r="E381" s="375">
        <f>Лист1!D86</f>
        <v>110</v>
      </c>
      <c r="F381" s="218">
        <f t="shared" si="13"/>
        <v>45.099999999999994</v>
      </c>
      <c r="H381" s="306"/>
      <c r="I381" s="115"/>
    </row>
    <row r="382" spans="1:9" ht="16.5" x14ac:dyDescent="0.25">
      <c r="A382" s="366" t="str">
        <f>Лист1!B87</f>
        <v>алебастр</v>
      </c>
      <c r="B382" s="219" t="s">
        <v>88</v>
      </c>
      <c r="C382" s="287"/>
      <c r="D382" s="216">
        <f>Лист1!C87*$A$294</f>
        <v>0.41</v>
      </c>
      <c r="E382" s="375">
        <f>Лист1!D87</f>
        <v>35</v>
      </c>
      <c r="F382" s="218">
        <f t="shared" si="13"/>
        <v>14.35</v>
      </c>
      <c r="H382" s="306"/>
      <c r="I382" s="115"/>
    </row>
    <row r="383" spans="1:9" ht="16.5" x14ac:dyDescent="0.25">
      <c r="A383" s="366" t="str">
        <f>Лист1!B88</f>
        <v>кран шаровый</v>
      </c>
      <c r="B383" s="219" t="s">
        <v>88</v>
      </c>
      <c r="C383" s="287"/>
      <c r="D383" s="216">
        <f>Лист1!C88*$A$294</f>
        <v>2.46</v>
      </c>
      <c r="E383" s="375">
        <f>Лист1!D88</f>
        <v>840</v>
      </c>
      <c r="F383" s="218">
        <f t="shared" si="13"/>
        <v>2066.4</v>
      </c>
      <c r="H383" s="306"/>
      <c r="I383" s="115"/>
    </row>
    <row r="384" spans="1:9" ht="16.5" x14ac:dyDescent="0.25">
      <c r="A384" s="366" t="str">
        <f>Лист1!B89</f>
        <v>мешок зеленый</v>
      </c>
      <c r="B384" s="219" t="s">
        <v>88</v>
      </c>
      <c r="C384" s="287"/>
      <c r="D384" s="216">
        <f>Лист1!C89*$A$294</f>
        <v>20.5</v>
      </c>
      <c r="E384" s="375">
        <f>Лист1!D89</f>
        <v>12</v>
      </c>
      <c r="F384" s="218">
        <f t="shared" si="13"/>
        <v>246</v>
      </c>
      <c r="H384" s="306"/>
      <c r="I384" s="115"/>
    </row>
    <row r="385" spans="1:9" ht="16.5" x14ac:dyDescent="0.25">
      <c r="A385" s="366" t="str">
        <f>Лист1!B90</f>
        <v>настольная игра "тараканьи бега"</v>
      </c>
      <c r="B385" s="219" t="s">
        <v>88</v>
      </c>
      <c r="C385" s="287"/>
      <c r="D385" s="216">
        <f>Лист1!C90*$A$294</f>
        <v>0.41</v>
      </c>
      <c r="E385" s="375">
        <f>Лист1!D90</f>
        <v>2100</v>
      </c>
      <c r="F385" s="218">
        <f t="shared" si="13"/>
        <v>861</v>
      </c>
      <c r="H385" s="306"/>
      <c r="I385" s="115"/>
    </row>
    <row r="386" spans="1:9" ht="16.5" x14ac:dyDescent="0.25">
      <c r="A386" s="366" t="str">
        <f>Лист1!B91</f>
        <v>настольная игра "Свинтус"</v>
      </c>
      <c r="B386" s="219" t="s">
        <v>88</v>
      </c>
      <c r="C386" s="287"/>
      <c r="D386" s="216">
        <f>Лист1!C91*$A$294</f>
        <v>0.41</v>
      </c>
      <c r="E386" s="375">
        <f>Лист1!D91</f>
        <v>1800</v>
      </c>
      <c r="F386" s="218">
        <f t="shared" si="13"/>
        <v>738</v>
      </c>
      <c r="H386" s="306"/>
      <c r="I386" s="115"/>
    </row>
    <row r="387" spans="1:9" ht="16.5" x14ac:dyDescent="0.25">
      <c r="A387" s="366" t="str">
        <f>Лист1!B92</f>
        <v>настольная игра "мафия"</v>
      </c>
      <c r="B387" s="219" t="s">
        <v>88</v>
      </c>
      <c r="C387" s="287"/>
      <c r="D387" s="216">
        <f>Лист1!C92*$A$294</f>
        <v>0.41</v>
      </c>
      <c r="E387" s="375">
        <f>Лист1!D92</f>
        <v>2800</v>
      </c>
      <c r="F387" s="218">
        <f t="shared" si="13"/>
        <v>1148</v>
      </c>
      <c r="H387" s="306"/>
      <c r="I387" s="115"/>
    </row>
    <row r="388" spans="1:9" ht="16.5" x14ac:dyDescent="0.25">
      <c r="A388" s="366" t="str">
        <f>Лист1!B93</f>
        <v>мыло жидкое</v>
      </c>
      <c r="B388" s="219" t="s">
        <v>88</v>
      </c>
      <c r="C388" s="287"/>
      <c r="D388" s="216">
        <f>Лист1!C93*$A$294</f>
        <v>1.23</v>
      </c>
      <c r="E388" s="375">
        <f>Лист1!D93</f>
        <v>400</v>
      </c>
      <c r="F388" s="218">
        <f t="shared" si="13"/>
        <v>492</v>
      </c>
      <c r="H388" s="306"/>
      <c r="I388" s="115"/>
    </row>
    <row r="389" spans="1:9" ht="16.5" x14ac:dyDescent="0.25">
      <c r="A389" s="366" t="str">
        <f>Лист1!B94</f>
        <v>насадка на швабру</v>
      </c>
      <c r="B389" s="219" t="s">
        <v>88</v>
      </c>
      <c r="C389" s="287"/>
      <c r="D389" s="216">
        <f>Лист1!C94*$A$294</f>
        <v>4.0999999999999996</v>
      </c>
      <c r="E389" s="375">
        <f>Лист1!D94</f>
        <v>100</v>
      </c>
      <c r="F389" s="218">
        <f t="shared" si="13"/>
        <v>409.99999999999994</v>
      </c>
      <c r="H389" s="306"/>
      <c r="I389" s="115"/>
    </row>
    <row r="390" spans="1:9" ht="16.5" x14ac:dyDescent="0.25">
      <c r="A390" s="366" t="str">
        <f>Лист1!B95</f>
        <v>ведро пластик</v>
      </c>
      <c r="B390" s="219" t="s">
        <v>88</v>
      </c>
      <c r="C390" s="287"/>
      <c r="D390" s="216">
        <f>Лист1!C95*$A$294</f>
        <v>0.82</v>
      </c>
      <c r="E390" s="375">
        <f>Лист1!D95</f>
        <v>280</v>
      </c>
      <c r="F390" s="218">
        <f t="shared" si="13"/>
        <v>229.6</v>
      </c>
      <c r="H390" s="306"/>
      <c r="I390" s="115"/>
    </row>
    <row r="391" spans="1:9" ht="16.5" x14ac:dyDescent="0.25">
      <c r="A391" s="366" t="str">
        <f>Лист1!B96</f>
        <v>туал бумага</v>
      </c>
      <c r="B391" s="219" t="s">
        <v>88</v>
      </c>
      <c r="C391" s="287"/>
      <c r="D391" s="216">
        <f>Лист1!C96*$A$294</f>
        <v>20.5</v>
      </c>
      <c r="E391" s="375">
        <f>Лист1!D96</f>
        <v>20</v>
      </c>
      <c r="F391" s="218">
        <f t="shared" si="13"/>
        <v>410</v>
      </c>
      <c r="H391" s="306"/>
      <c r="I391" s="115"/>
    </row>
    <row r="392" spans="1:9" ht="16.5" x14ac:dyDescent="0.25">
      <c r="A392" s="366" t="str">
        <f>Лист1!B97</f>
        <v>кнопки силовые</v>
      </c>
      <c r="B392" s="219" t="s">
        <v>88</v>
      </c>
      <c r="C392" s="287"/>
      <c r="D392" s="216">
        <f>Лист1!C97*$A$294</f>
        <v>32.799999999999997</v>
      </c>
      <c r="E392" s="375">
        <f>Лист1!D97</f>
        <v>5</v>
      </c>
      <c r="F392" s="218">
        <f t="shared" si="13"/>
        <v>164</v>
      </c>
      <c r="H392" s="306"/>
      <c r="I392" s="115"/>
    </row>
    <row r="393" spans="1:9" ht="16.5" x14ac:dyDescent="0.25">
      <c r="A393" s="366" t="str">
        <f>Лист1!B98</f>
        <v>канц нож</v>
      </c>
      <c r="B393" s="219" t="s">
        <v>88</v>
      </c>
      <c r="C393" s="287"/>
      <c r="D393" s="216">
        <f>Лист1!C98*$A$294</f>
        <v>4.0999999999999996</v>
      </c>
      <c r="E393" s="375">
        <f>Лист1!D98</f>
        <v>120</v>
      </c>
      <c r="F393" s="218">
        <f t="shared" si="13"/>
        <v>491.99999999999994</v>
      </c>
      <c r="H393" s="306"/>
      <c r="I393" s="115"/>
    </row>
    <row r="394" spans="1:9" ht="16.5" x14ac:dyDescent="0.25">
      <c r="A394" s="366" t="str">
        <f>Лист1!B99</f>
        <v>нож для хобби</v>
      </c>
      <c r="B394" s="219" t="s">
        <v>88</v>
      </c>
      <c r="C394" s="287"/>
      <c r="D394" s="216">
        <f>Лист1!C99*$A$294</f>
        <v>2.0499999999999998</v>
      </c>
      <c r="E394" s="375">
        <f>Лист1!D99</f>
        <v>260</v>
      </c>
      <c r="F394" s="218">
        <f t="shared" si="13"/>
        <v>533</v>
      </c>
      <c r="H394" s="306"/>
      <c r="I394" s="115"/>
    </row>
    <row r="395" spans="1:9" ht="16.5" x14ac:dyDescent="0.25">
      <c r="A395" s="366" t="str">
        <f>Лист1!B100</f>
        <v>магниты для доски (уп 9 шт)</v>
      </c>
      <c r="B395" s="219" t="s">
        <v>88</v>
      </c>
      <c r="C395" s="287"/>
      <c r="D395" s="216">
        <f>Лист1!C100*$A$294</f>
        <v>2.0499999999999998</v>
      </c>
      <c r="E395" s="375">
        <f>Лист1!D100</f>
        <v>300</v>
      </c>
      <c r="F395" s="218">
        <f t="shared" si="13"/>
        <v>615</v>
      </c>
      <c r="H395" s="306"/>
      <c r="I395" s="115"/>
    </row>
    <row r="396" spans="1:9" ht="16.5" x14ac:dyDescent="0.25">
      <c r="A396" s="366" t="str">
        <f>Лист1!B101</f>
        <v>ежедневник</v>
      </c>
      <c r="B396" s="219" t="s">
        <v>88</v>
      </c>
      <c r="C396" s="287"/>
      <c r="D396" s="216">
        <f>Лист1!C101*$A$294</f>
        <v>2.0499999999999998</v>
      </c>
      <c r="E396" s="375">
        <f>Лист1!D101</f>
        <v>650</v>
      </c>
      <c r="F396" s="218">
        <f t="shared" si="13"/>
        <v>1332.4999999999998</v>
      </c>
      <c r="H396" s="306"/>
      <c r="I396" s="115"/>
    </row>
    <row r="397" spans="1:9" ht="16.5" x14ac:dyDescent="0.25">
      <c r="A397" s="366" t="str">
        <f>Лист1!B102</f>
        <v>ср-во для стекол</v>
      </c>
      <c r="B397" s="219" t="s">
        <v>88</v>
      </c>
      <c r="C397" s="287"/>
      <c r="D397" s="216">
        <f>Лист1!C102*$A$294</f>
        <v>0.82</v>
      </c>
      <c r="E397" s="375">
        <f>Лист1!D102</f>
        <v>240</v>
      </c>
      <c r="F397" s="218">
        <f t="shared" si="13"/>
        <v>196.79999999999998</v>
      </c>
      <c r="H397" s="306"/>
      <c r="I397" s="115"/>
    </row>
    <row r="398" spans="1:9" ht="16.5" x14ac:dyDescent="0.25">
      <c r="A398" s="366" t="str">
        <f>Лист1!B103</f>
        <v>пемолюкс</v>
      </c>
      <c r="B398" s="219" t="s">
        <v>88</v>
      </c>
      <c r="C398" s="287"/>
      <c r="D398" s="216">
        <f>Лист1!C103*$A$294</f>
        <v>4.0999999999999996</v>
      </c>
      <c r="E398" s="375">
        <f>Лист1!D103</f>
        <v>60</v>
      </c>
      <c r="F398" s="218">
        <f t="shared" si="13"/>
        <v>245.99999999999997</v>
      </c>
      <c r="H398" s="306"/>
      <c r="I398" s="115"/>
    </row>
    <row r="399" spans="1:9" ht="16.5" x14ac:dyDescent="0.25">
      <c r="A399" s="366" t="str">
        <f>Лист1!B104</f>
        <v>доместос</v>
      </c>
      <c r="B399" s="219" t="s">
        <v>88</v>
      </c>
      <c r="C399" s="287"/>
      <c r="D399" s="216">
        <f>Лист1!C104*$A$294</f>
        <v>1.64</v>
      </c>
      <c r="E399" s="375">
        <f>Лист1!D104</f>
        <v>95</v>
      </c>
      <c r="F399" s="218">
        <f t="shared" si="13"/>
        <v>155.79999999999998</v>
      </c>
      <c r="H399" s="306"/>
      <c r="I399" s="115"/>
    </row>
    <row r="400" spans="1:9" ht="16.5" x14ac:dyDescent="0.25">
      <c r="A400" s="366" t="str">
        <f>Лист1!B105</f>
        <v>маркер</v>
      </c>
      <c r="B400" s="219" t="s">
        <v>88</v>
      </c>
      <c r="C400" s="287"/>
      <c r="D400" s="216">
        <f>Лист1!C105*$A$294</f>
        <v>12.299999999999999</v>
      </c>
      <c r="E400" s="375">
        <f>Лист1!D105</f>
        <v>50</v>
      </c>
      <c r="F400" s="218">
        <f t="shared" si="13"/>
        <v>615</v>
      </c>
      <c r="H400" s="306"/>
      <c r="I400" s="115"/>
    </row>
    <row r="401" spans="1:9" ht="16.5" x14ac:dyDescent="0.25">
      <c r="A401" s="366" t="str">
        <f>Лист1!B106</f>
        <v>тал блок освеж</v>
      </c>
      <c r="B401" s="219" t="s">
        <v>88</v>
      </c>
      <c r="C401" s="287"/>
      <c r="D401" s="216">
        <f>Лист1!C106*$A$294</f>
        <v>4.0999999999999996</v>
      </c>
      <c r="E401" s="375">
        <f>Лист1!D106</f>
        <v>145</v>
      </c>
      <c r="F401" s="218">
        <f t="shared" si="13"/>
        <v>594.5</v>
      </c>
      <c r="H401" s="306"/>
      <c r="I401" s="115"/>
    </row>
    <row r="402" spans="1:9" ht="16.5" x14ac:dyDescent="0.25">
      <c r="A402" s="366" t="str">
        <f>Лист1!B107</f>
        <v>футболка-поло белая с логотипом, мужская</v>
      </c>
      <c r="B402" s="219" t="s">
        <v>88</v>
      </c>
      <c r="C402" s="287"/>
      <c r="D402" s="216">
        <f>Лист1!C107*$A$294</f>
        <v>1.64</v>
      </c>
      <c r="E402" s="375">
        <f>Лист1!D107</f>
        <v>1050</v>
      </c>
      <c r="F402" s="218">
        <f t="shared" si="13"/>
        <v>1722</v>
      </c>
      <c r="H402" s="306"/>
      <c r="I402" s="115"/>
    </row>
    <row r="403" spans="1:9" ht="16.5" x14ac:dyDescent="0.25">
      <c r="A403" s="366" t="str">
        <f>Лист1!B108</f>
        <v>футболка-поло белая с логотипом, женская</v>
      </c>
      <c r="B403" s="219" t="s">
        <v>88</v>
      </c>
      <c r="C403" s="287"/>
      <c r="D403" s="216">
        <f>Лист1!C108*$A$294</f>
        <v>3.69</v>
      </c>
      <c r="E403" s="375">
        <f>Лист1!D108</f>
        <v>950</v>
      </c>
      <c r="F403" s="218">
        <f t="shared" si="13"/>
        <v>3505.5</v>
      </c>
      <c r="H403" s="306"/>
      <c r="I403" s="115"/>
    </row>
    <row r="404" spans="1:9" ht="16.5" x14ac:dyDescent="0.25">
      <c r="A404" s="366" t="str">
        <f>Лист1!B109</f>
        <v>радиатор медный</v>
      </c>
      <c r="B404" s="219" t="s">
        <v>88</v>
      </c>
      <c r="C404" s="287"/>
      <c r="D404" s="216">
        <f>Лист1!C109*$A$294</f>
        <v>0.41</v>
      </c>
      <c r="E404" s="375">
        <f>Лист1!D109</f>
        <v>15960</v>
      </c>
      <c r="F404" s="218">
        <f t="shared" si="13"/>
        <v>6543.5999999999995</v>
      </c>
      <c r="H404" s="306"/>
      <c r="I404" s="115"/>
    </row>
    <row r="405" spans="1:9" ht="16.5" x14ac:dyDescent="0.25">
      <c r="A405" s="366" t="str">
        <f>Лист1!B110</f>
        <v>гидротолкатель клапана</v>
      </c>
      <c r="B405" s="219" t="s">
        <v>88</v>
      </c>
      <c r="C405" s="287"/>
      <c r="D405" s="216">
        <f>Лист1!C110*$A$294</f>
        <v>0.82</v>
      </c>
      <c r="E405" s="375">
        <f>Лист1!D110</f>
        <v>2300</v>
      </c>
      <c r="F405" s="218">
        <f t="shared" si="13"/>
        <v>1886</v>
      </c>
      <c r="H405" s="306"/>
      <c r="I405" s="115"/>
    </row>
    <row r="406" spans="1:9" ht="16.5" x14ac:dyDescent="0.25">
      <c r="A406" s="366" t="str">
        <f>Лист1!B111</f>
        <v>маслосъемные колпачки (16 шт)</v>
      </c>
      <c r="B406" s="219" t="s">
        <v>88</v>
      </c>
      <c r="C406" s="287"/>
      <c r="D406" s="216">
        <f>Лист1!C111*$A$294</f>
        <v>0.41</v>
      </c>
      <c r="E406" s="375">
        <f>Лист1!D111</f>
        <v>649</v>
      </c>
      <c r="F406" s="218">
        <f t="shared" si="13"/>
        <v>266.08999999999997</v>
      </c>
      <c r="H406" s="306"/>
      <c r="I406" s="115"/>
    </row>
    <row r="407" spans="1:9" ht="16.5" x14ac:dyDescent="0.25">
      <c r="A407" s="366" t="str">
        <f>Лист1!B112</f>
        <v>к-т ГРМ (полный)</v>
      </c>
      <c r="B407" s="219" t="s">
        <v>88</v>
      </c>
      <c r="C407" s="287"/>
      <c r="D407" s="216">
        <f>Лист1!C112*$A$294</f>
        <v>0.41</v>
      </c>
      <c r="E407" s="375">
        <f>Лист1!D112</f>
        <v>6242</v>
      </c>
      <c r="F407" s="218">
        <f t="shared" si="13"/>
        <v>2559.2199999999998</v>
      </c>
      <c r="H407" s="306"/>
      <c r="I407" s="115"/>
    </row>
    <row r="408" spans="1:9" ht="16.5" x14ac:dyDescent="0.25">
      <c r="A408" s="366" t="str">
        <f>Лист1!B113</f>
        <v>фланец упорный распредвала</v>
      </c>
      <c r="B408" s="219" t="s">
        <v>88</v>
      </c>
      <c r="C408" s="287"/>
      <c r="D408" s="216">
        <f>Лист1!C113*$A$294</f>
        <v>0.82</v>
      </c>
      <c r="E408" s="375">
        <f>Лист1!D113</f>
        <v>27</v>
      </c>
      <c r="F408" s="218">
        <f t="shared" si="13"/>
        <v>22.139999999999997</v>
      </c>
      <c r="H408" s="306"/>
      <c r="I408" s="115"/>
    </row>
    <row r="409" spans="1:9" ht="16.5" x14ac:dyDescent="0.25">
      <c r="A409" s="366" t="str">
        <f>Лист1!B114</f>
        <v>гидронатяжитель цепи</v>
      </c>
      <c r="B409" s="219" t="s">
        <v>88</v>
      </c>
      <c r="C409" s="287"/>
      <c r="D409" s="216">
        <f>Лист1!C114*$A$294</f>
        <v>0.82</v>
      </c>
      <c r="E409" s="375">
        <f>Лист1!D114</f>
        <v>226</v>
      </c>
      <c r="F409" s="218">
        <f t="shared" si="13"/>
        <v>185.32</v>
      </c>
      <c r="H409" s="306"/>
      <c r="I409" s="115"/>
    </row>
    <row r="410" spans="1:9" ht="16.5" x14ac:dyDescent="0.25">
      <c r="A410" s="366" t="str">
        <f>Лист1!B115</f>
        <v>прокладка головки блока</v>
      </c>
      <c r="B410" s="219" t="s">
        <v>88</v>
      </c>
      <c r="C410" s="287"/>
      <c r="D410" s="216">
        <f>Лист1!C115*$A$294</f>
        <v>0.41</v>
      </c>
      <c r="E410" s="375">
        <f>Лист1!D115</f>
        <v>1050</v>
      </c>
      <c r="F410" s="218">
        <f t="shared" si="13"/>
        <v>430.5</v>
      </c>
      <c r="H410" s="306"/>
      <c r="I410" s="115"/>
    </row>
    <row r="411" spans="1:9" ht="16.5" x14ac:dyDescent="0.25">
      <c r="A411" s="366" t="str">
        <f>Лист1!B116</f>
        <v>к-т прокладок на дв.4091</v>
      </c>
      <c r="B411" s="219" t="s">
        <v>88</v>
      </c>
      <c r="C411" s="287"/>
      <c r="D411" s="216">
        <f>Лист1!C116*$A$294</f>
        <v>0.41</v>
      </c>
      <c r="E411" s="375">
        <f>Лист1!D116</f>
        <v>1037</v>
      </c>
      <c r="F411" s="218">
        <f t="shared" si="13"/>
        <v>425.16999999999996</v>
      </c>
      <c r="H411" s="306"/>
      <c r="I411" s="115"/>
    </row>
    <row r="412" spans="1:9" ht="16.5" x14ac:dyDescent="0.25">
      <c r="A412" s="366" t="str">
        <f>Лист1!B117</f>
        <v>dextron iv</v>
      </c>
      <c r="B412" s="219" t="s">
        <v>88</v>
      </c>
      <c r="C412" s="287"/>
      <c r="D412" s="216">
        <f>Лист1!C117*$A$294</f>
        <v>0.41</v>
      </c>
      <c r="E412" s="375">
        <f>Лист1!D117</f>
        <v>725</v>
      </c>
      <c r="F412" s="218">
        <f t="shared" si="13"/>
        <v>297.25</v>
      </c>
      <c r="H412" s="306"/>
      <c r="I412" s="115"/>
    </row>
    <row r="413" spans="1:9" ht="16.5" x14ac:dyDescent="0.25">
      <c r="A413" s="366" t="str">
        <f>Лист1!B118</f>
        <v>смазка (шрус)</v>
      </c>
      <c r="B413" s="219" t="s">
        <v>88</v>
      </c>
      <c r="C413" s="287"/>
      <c r="D413" s="216">
        <f>Лист1!C118*$A$294</f>
        <v>2.0499999999999998</v>
      </c>
      <c r="E413" s="375">
        <f>Лист1!D118</f>
        <v>280</v>
      </c>
      <c r="F413" s="218">
        <f t="shared" si="13"/>
        <v>574</v>
      </c>
      <c r="H413" s="306"/>
      <c r="I413" s="115"/>
    </row>
    <row r="414" spans="1:9" ht="16.5" x14ac:dyDescent="0.25">
      <c r="A414" s="366" t="str">
        <f>Лист1!B119</f>
        <v>смазка литол-24</v>
      </c>
      <c r="B414" s="219" t="s">
        <v>88</v>
      </c>
      <c r="C414" s="287"/>
      <c r="D414" s="216">
        <f>Лист1!C119*$A$294</f>
        <v>1.64</v>
      </c>
      <c r="E414" s="375">
        <f>Лист1!D119</f>
        <v>145</v>
      </c>
      <c r="F414" s="218">
        <f t="shared" si="13"/>
        <v>237.79999999999998</v>
      </c>
      <c r="H414" s="306"/>
      <c r="I414" s="115"/>
    </row>
    <row r="415" spans="1:9" ht="16.5" x14ac:dyDescent="0.25">
      <c r="A415" s="366" t="str">
        <f>Лист1!B120</f>
        <v>тормозная жидкость (0,910 кг)</v>
      </c>
      <c r="B415" s="219" t="s">
        <v>88</v>
      </c>
      <c r="C415" s="287"/>
      <c r="D415" s="216">
        <f>Лист1!C120*$A$294</f>
        <v>0.82</v>
      </c>
      <c r="E415" s="375">
        <f>Лист1!D120</f>
        <v>250</v>
      </c>
      <c r="F415" s="218">
        <f t="shared" si="13"/>
        <v>205</v>
      </c>
      <c r="H415" s="306"/>
      <c r="I415" s="115"/>
    </row>
    <row r="416" spans="1:9" ht="16.5" x14ac:dyDescent="0.25">
      <c r="A416" s="366" t="str">
        <f>Лист1!B121</f>
        <v>шайба, гайка,сверло</v>
      </c>
      <c r="B416" s="219" t="s">
        <v>88</v>
      </c>
      <c r="C416" s="287"/>
      <c r="D416" s="216">
        <f>Лист1!C121*$A$294</f>
        <v>0.41</v>
      </c>
      <c r="E416" s="375">
        <f>Лист1!D121</f>
        <v>180</v>
      </c>
      <c r="F416" s="218">
        <f t="shared" si="13"/>
        <v>73.8</v>
      </c>
      <c r="H416" s="306"/>
      <c r="I416" s="115"/>
    </row>
    <row r="417" spans="1:9" ht="16.5" x14ac:dyDescent="0.25">
      <c r="A417" s="366" t="str">
        <f>Лист1!B122</f>
        <v>саморез</v>
      </c>
      <c r="B417" s="219" t="s">
        <v>88</v>
      </c>
      <c r="C417" s="287"/>
      <c r="D417" s="216">
        <f>Лист1!C122*$A$294</f>
        <v>12.299999999999999</v>
      </c>
      <c r="E417" s="375">
        <f>Лист1!D122</f>
        <v>10</v>
      </c>
      <c r="F417" s="218">
        <f t="shared" si="13"/>
        <v>122.99999999999999</v>
      </c>
      <c r="H417" s="306"/>
      <c r="I417" s="115"/>
    </row>
    <row r="418" spans="1:9" ht="16.5" x14ac:dyDescent="0.25">
      <c r="A418" s="366" t="str">
        <f>Лист1!B123</f>
        <v>брелок</v>
      </c>
      <c r="B418" s="219" t="s">
        <v>88</v>
      </c>
      <c r="C418" s="287"/>
      <c r="D418" s="216">
        <f>Лист1!C123*$A$294</f>
        <v>8.1999999999999993</v>
      </c>
      <c r="E418" s="375">
        <f>Лист1!D123</f>
        <v>20</v>
      </c>
      <c r="F418" s="218">
        <f t="shared" si="13"/>
        <v>164</v>
      </c>
      <c r="H418" s="306"/>
      <c r="I418" s="115"/>
    </row>
    <row r="419" spans="1:9" ht="33" x14ac:dyDescent="0.25">
      <c r="A419" s="366" t="str">
        <f>Лист1!B124</f>
        <v>Тарелка опорная ЗУБР "МАСТЕР" пластиковая для УШМ под круг на липучке, d 125 мм, М14</v>
      </c>
      <c r="B419" s="219" t="s">
        <v>88</v>
      </c>
      <c r="C419" s="287"/>
      <c r="D419" s="216">
        <f>Лист1!C124*$A$294</f>
        <v>0.82</v>
      </c>
      <c r="E419" s="375">
        <f>Лист1!D124</f>
        <v>225</v>
      </c>
      <c r="F419" s="218">
        <f t="shared" si="13"/>
        <v>184.5</v>
      </c>
      <c r="H419" s="306"/>
      <c r="I419" s="115"/>
    </row>
    <row r="420" spans="1:9" ht="33" x14ac:dyDescent="0.25">
      <c r="A420" s="366" t="str">
        <f>Лист1!B125</f>
        <v>Круг шлифовальный ЗУБР "МАСТЕР"  универс., из абразивной бумаги на велкро основе, б/отверстий, Р320</v>
      </c>
      <c r="B420" s="219" t="s">
        <v>88</v>
      </c>
      <c r="C420" s="287"/>
      <c r="D420" s="216">
        <f>Лист1!C125*$A$294</f>
        <v>0.82</v>
      </c>
      <c r="E420" s="375">
        <f>Лист1!D125</f>
        <v>110</v>
      </c>
      <c r="F420" s="218">
        <f t="shared" si="13"/>
        <v>90.199999999999989</v>
      </c>
      <c r="H420" s="306"/>
      <c r="I420" s="115"/>
    </row>
    <row r="421" spans="1:9" ht="33" x14ac:dyDescent="0.25">
      <c r="A421" s="366" t="str">
        <f>Лист1!B126</f>
        <v>Круг шлифовальный ЗУБР "МАСТЕР"  универс., из абразивной бумаги на велкро основе, б/отверстий, Р180</v>
      </c>
      <c r="B421" s="219" t="s">
        <v>88</v>
      </c>
      <c r="C421" s="287"/>
      <c r="D421" s="216">
        <f>Лист1!C126*$A$294</f>
        <v>0.82</v>
      </c>
      <c r="E421" s="375">
        <f>Лист1!D126</f>
        <v>110</v>
      </c>
      <c r="F421" s="218">
        <f t="shared" si="13"/>
        <v>90.199999999999989</v>
      </c>
      <c r="H421" s="306"/>
      <c r="I421" s="115"/>
    </row>
    <row r="422" spans="1:9" ht="15" customHeight="1" x14ac:dyDescent="0.25">
      <c r="A422" s="366" t="str">
        <f>Лист1!B127</f>
        <v>Аптечка нового образца "Мицар" 17,5x15x7см ПЛАСТИК</v>
      </c>
      <c r="B422" s="219" t="s">
        <v>88</v>
      </c>
      <c r="C422" s="287"/>
      <c r="D422" s="216">
        <f>Лист1!C127*$A$294</f>
        <v>0.82</v>
      </c>
      <c r="E422" s="375">
        <f>Лист1!D127</f>
        <v>260</v>
      </c>
      <c r="F422" s="218">
        <f t="shared" si="13"/>
        <v>213.2</v>
      </c>
      <c r="H422" s="306"/>
      <c r="I422" s="115"/>
    </row>
    <row r="423" spans="1:9" ht="33" x14ac:dyDescent="0.25">
      <c r="A423" s="366" t="str">
        <f>Лист1!B128</f>
        <v>Саморез по гипсокартону, дереву, ДСП черный фосфат 3,5х45 (2000шт.)</v>
      </c>
      <c r="B423" s="219" t="s">
        <v>88</v>
      </c>
      <c r="C423" s="287"/>
      <c r="D423" s="216">
        <f>Лист1!C128*$A$294</f>
        <v>369</v>
      </c>
      <c r="E423" s="375">
        <f>Лист1!D128</f>
        <v>1</v>
      </c>
      <c r="F423" s="218">
        <f t="shared" si="13"/>
        <v>369</v>
      </c>
      <c r="H423" s="306"/>
      <c r="I423" s="115"/>
    </row>
    <row r="424" spans="1:9" ht="33" x14ac:dyDescent="0.25">
      <c r="A424" s="366" t="str">
        <f>Лист1!B129</f>
        <v>Саморез по гипсокартону, дереву, ДСП черный фосфат 4,8х102 (400шт.)</v>
      </c>
      <c r="B424" s="219" t="s">
        <v>88</v>
      </c>
      <c r="C424" s="287"/>
      <c r="D424" s="216">
        <f>Лист1!C129*$A$294</f>
        <v>94.3</v>
      </c>
      <c r="E424" s="375">
        <f>Лист1!D129</f>
        <v>4</v>
      </c>
      <c r="F424" s="218">
        <f t="shared" si="13"/>
        <v>377.2</v>
      </c>
      <c r="H424" s="306"/>
      <c r="I424" s="115"/>
    </row>
    <row r="425" spans="1:9" ht="16.5" x14ac:dyDescent="0.25">
      <c r="A425" s="366" t="str">
        <f>Лист1!B130</f>
        <v>Уголок крепежный универсальный цинк 100*100*60*2,0мм /50/</v>
      </c>
      <c r="B425" s="219" t="s">
        <v>88</v>
      </c>
      <c r="C425" s="287"/>
      <c r="D425" s="216">
        <f>Лист1!C130*$A$294</f>
        <v>3.28</v>
      </c>
      <c r="E425" s="375">
        <f>Лист1!D130</f>
        <v>35</v>
      </c>
      <c r="F425" s="218">
        <f t="shared" si="13"/>
        <v>114.8</v>
      </c>
      <c r="H425" s="306"/>
      <c r="I425" s="115"/>
    </row>
    <row r="426" spans="1:9" ht="16.5" x14ac:dyDescent="0.25">
      <c r="A426" s="366" t="str">
        <f>Лист1!B131</f>
        <v>Уголок крепежный универсальный цинк 80*80*40*2,0мм /100/</v>
      </c>
      <c r="B426" s="219" t="s">
        <v>88</v>
      </c>
      <c r="C426" s="287"/>
      <c r="D426" s="216">
        <f>Лист1!C131*$A$294</f>
        <v>5.7399999999999993</v>
      </c>
      <c r="E426" s="375">
        <f>Лист1!D131</f>
        <v>20</v>
      </c>
      <c r="F426" s="218">
        <f t="shared" si="13"/>
        <v>114.79999999999998</v>
      </c>
      <c r="H426" s="306"/>
      <c r="I426" s="115"/>
    </row>
    <row r="427" spans="1:9" ht="16.5" x14ac:dyDescent="0.25">
      <c r="A427" s="366" t="str">
        <f>Лист1!B132</f>
        <v>Уголок крепежный универсальный цинк 50*50*60*2,0мм /100/</v>
      </c>
      <c r="B427" s="219" t="s">
        <v>88</v>
      </c>
      <c r="C427" s="287"/>
      <c r="D427" s="216">
        <f>Лист1!C132*$A$294</f>
        <v>8.1999999999999993</v>
      </c>
      <c r="E427" s="375">
        <f>Лист1!D132</f>
        <v>20</v>
      </c>
      <c r="F427" s="218">
        <f t="shared" ref="F427:F454" si="14">D427*E427</f>
        <v>164</v>
      </c>
      <c r="H427" s="306"/>
      <c r="I427" s="115"/>
    </row>
    <row r="428" spans="1:9" ht="16.5" x14ac:dyDescent="0.25">
      <c r="A428" s="366" t="str">
        <f>Лист1!B133</f>
        <v>Пластина крепежная универсальная цинк 200*60*2,0мм /50/</v>
      </c>
      <c r="B428" s="219" t="s">
        <v>88</v>
      </c>
      <c r="C428" s="287"/>
      <c r="D428" s="216">
        <f>Лист1!C133*$A$294</f>
        <v>4.0999999999999996</v>
      </c>
      <c r="E428" s="375">
        <f>Лист1!D133</f>
        <v>35</v>
      </c>
      <c r="F428" s="218">
        <f t="shared" si="14"/>
        <v>143.5</v>
      </c>
      <c r="H428" s="306"/>
      <c r="I428" s="115"/>
    </row>
    <row r="429" spans="1:9" ht="16.5" x14ac:dyDescent="0.25">
      <c r="A429" s="366" t="str">
        <f>Лист1!B134</f>
        <v>Сверло по металлу 6,0мм ТОМСК 10902В</v>
      </c>
      <c r="B429" s="219" t="s">
        <v>88</v>
      </c>
      <c r="C429" s="287"/>
      <c r="D429" s="216">
        <f>Лист1!C134*$A$294</f>
        <v>0.82</v>
      </c>
      <c r="E429" s="375">
        <f>Лист1!D134</f>
        <v>21</v>
      </c>
      <c r="F429" s="218">
        <f t="shared" si="14"/>
        <v>17.22</v>
      </c>
      <c r="H429" s="306"/>
      <c r="I429" s="115"/>
    </row>
    <row r="430" spans="1:9" ht="16.5" x14ac:dyDescent="0.25">
      <c r="A430" s="366" t="str">
        <f>Лист1!B135</f>
        <v>Биты  ХК RSG 10 шт, РН2 х 70 мм, сталь S2 /120/</v>
      </c>
      <c r="B430" s="219" t="s">
        <v>88</v>
      </c>
      <c r="C430" s="287"/>
      <c r="D430" s="216">
        <f>Лист1!C135*$A$294</f>
        <v>1.64</v>
      </c>
      <c r="E430" s="375">
        <f>Лист1!D135</f>
        <v>21</v>
      </c>
      <c r="F430" s="218">
        <f t="shared" si="14"/>
        <v>34.44</v>
      </c>
      <c r="H430" s="306"/>
      <c r="I430" s="115"/>
    </row>
    <row r="431" spans="1:9" ht="16.5" x14ac:dyDescent="0.25">
      <c r="A431" s="366" t="str">
        <f>Лист1!B136</f>
        <v>Хомут  нейлоновый 2,5х200мм 100шт белый /10/100/</v>
      </c>
      <c r="B431" s="219" t="s">
        <v>88</v>
      </c>
      <c r="C431" s="287"/>
      <c r="D431" s="216">
        <f>Лист1!C136*$A$294</f>
        <v>0.41</v>
      </c>
      <c r="E431" s="375">
        <f>Лист1!D136</f>
        <v>65</v>
      </c>
      <c r="F431" s="218">
        <f t="shared" si="14"/>
        <v>26.65</v>
      </c>
      <c r="H431" s="306"/>
      <c r="I431" s="115"/>
    </row>
    <row r="432" spans="1:9" ht="16.5" x14ac:dyDescent="0.25">
      <c r="A432" s="366" t="str">
        <f>Лист1!B137</f>
        <v>Хомут  нейлоновый 3,6х300мм 100шт белый /10/150/</v>
      </c>
      <c r="B432" s="219" t="s">
        <v>88</v>
      </c>
      <c r="C432" s="287"/>
      <c r="D432" s="216">
        <f>Лист1!C137*$A$294</f>
        <v>0.41</v>
      </c>
      <c r="E432" s="375">
        <f>Лист1!D137</f>
        <v>150</v>
      </c>
      <c r="F432" s="218">
        <f t="shared" si="14"/>
        <v>61.499999999999993</v>
      </c>
      <c r="H432" s="306"/>
      <c r="I432" s="115"/>
    </row>
    <row r="433" spans="1:9" ht="16.5" x14ac:dyDescent="0.25">
      <c r="A433" s="366" t="str">
        <f>Лист1!B138</f>
        <v>Набор АНИ с бок подв 1/2 пл кнопка белая  WС8010 /20/</v>
      </c>
      <c r="B433" s="219" t="s">
        <v>88</v>
      </c>
      <c r="C433" s="287"/>
      <c r="D433" s="216">
        <f>Лист1!C138*$A$294</f>
        <v>0.41</v>
      </c>
      <c r="E433" s="375">
        <f>Лист1!D138</f>
        <v>580</v>
      </c>
      <c r="F433" s="218">
        <f t="shared" si="14"/>
        <v>237.79999999999998</v>
      </c>
      <c r="H433" s="306"/>
      <c r="I433" s="115"/>
    </row>
    <row r="434" spans="1:9" ht="16.5" x14ac:dyDescent="0.25">
      <c r="A434" s="366" t="str">
        <f>Лист1!B139</f>
        <v>Набор с бок подв АНИ шток пластик эконом  WС4050 /20/</v>
      </c>
      <c r="B434" s="219" t="s">
        <v>88</v>
      </c>
      <c r="C434" s="287"/>
      <c r="D434" s="216">
        <f>Лист1!C139*$A$294</f>
        <v>0.41</v>
      </c>
      <c r="E434" s="375">
        <f>Лист1!D139</f>
        <v>300</v>
      </c>
      <c r="F434" s="218">
        <f t="shared" si="14"/>
        <v>122.99999999999999</v>
      </c>
      <c r="H434" s="306"/>
      <c r="I434" s="115"/>
    </row>
    <row r="435" spans="1:9" ht="16.5" x14ac:dyDescent="0.25">
      <c r="A435" s="366" t="str">
        <f>Лист1!B140</f>
        <v>Тройник PPR соединительный 32 Дигор /15/60/</v>
      </c>
      <c r="B435" s="219" t="s">
        <v>88</v>
      </c>
      <c r="C435" s="287"/>
      <c r="D435" s="216">
        <f>Лист1!C140*$A$294</f>
        <v>3.28</v>
      </c>
      <c r="E435" s="375">
        <f>Лист1!D140</f>
        <v>23</v>
      </c>
      <c r="F435" s="218">
        <f t="shared" si="14"/>
        <v>75.44</v>
      </c>
      <c r="H435" s="306"/>
      <c r="I435" s="115"/>
    </row>
    <row r="436" spans="1:9" ht="33" x14ac:dyDescent="0.25">
      <c r="A436" s="366" t="str">
        <f>Лист1!B141</f>
        <v>Труба PPR Ду 25  PN 20, SDR 7,4 (4 м) армир. стекловолокном г.Красноярск  /упак. 25шт./</v>
      </c>
      <c r="B436" s="219" t="s">
        <v>88</v>
      </c>
      <c r="C436" s="287"/>
      <c r="D436" s="216">
        <f>Лист1!C141*$A$294</f>
        <v>1.23</v>
      </c>
      <c r="E436" s="375">
        <f>Лист1!D141</f>
        <v>272</v>
      </c>
      <c r="F436" s="218">
        <f t="shared" si="14"/>
        <v>334.56</v>
      </c>
      <c r="H436" s="306"/>
      <c r="I436" s="115"/>
    </row>
    <row r="437" spans="1:9" ht="33" x14ac:dyDescent="0.25">
      <c r="A437" s="366" t="str">
        <f>Лист1!B142</f>
        <v>Труба РР PN25 Д-32*5,4 (1") L-4,0м (стекловолокно) (упак. 15 шт.)</v>
      </c>
      <c r="B437" s="219" t="s">
        <v>88</v>
      </c>
      <c r="C437" s="287"/>
      <c r="D437" s="216">
        <f>Лист1!C142*$A$294</f>
        <v>0.41</v>
      </c>
      <c r="E437" s="375">
        <f>Лист1!D142</f>
        <v>650</v>
      </c>
      <c r="F437" s="218">
        <f t="shared" si="14"/>
        <v>266.5</v>
      </c>
      <c r="H437" s="306"/>
      <c r="I437" s="115"/>
    </row>
    <row r="438" spans="1:9" ht="16.5" x14ac:dyDescent="0.25">
      <c r="A438" s="366" t="str">
        <f>Лист1!B143</f>
        <v>Изоляция для труб холодной воды 42/9мм, 2м /10/</v>
      </c>
      <c r="B438" s="219" t="s">
        <v>88</v>
      </c>
      <c r="C438" s="287"/>
      <c r="D438" s="216">
        <f>Лист1!C143*$A$294</f>
        <v>2.0499999999999998</v>
      </c>
      <c r="E438" s="375">
        <f>Лист1!D143</f>
        <v>55</v>
      </c>
      <c r="F438" s="218">
        <f t="shared" si="14"/>
        <v>112.74999999999999</v>
      </c>
      <c r="H438" s="306"/>
      <c r="I438" s="115"/>
    </row>
    <row r="439" spans="1:9" ht="16.5" x14ac:dyDescent="0.25">
      <c r="A439" s="366" t="str">
        <f>Лист1!B144</f>
        <v>Изодом НПЭ Л 10мм (1,0х25 п.м)</v>
      </c>
      <c r="B439" s="219" t="s">
        <v>88</v>
      </c>
      <c r="C439" s="287"/>
      <c r="D439" s="216">
        <f>Лист1!C144*$A$294</f>
        <v>0.82</v>
      </c>
      <c r="E439" s="375">
        <f>Лист1!D144</f>
        <v>120</v>
      </c>
      <c r="F439" s="218">
        <f t="shared" si="14"/>
        <v>98.399999999999991</v>
      </c>
      <c r="H439" s="306"/>
      <c r="I439" s="115"/>
    </row>
    <row r="440" spans="1:9" ht="33" x14ac:dyDescent="0.25">
      <c r="A440" s="366" t="str">
        <f>Лист1!B145</f>
        <v>Лента серпянка сетка строительная самокл. Стелс 45мм.*45м. /63/</v>
      </c>
      <c r="B440" s="219" t="s">
        <v>88</v>
      </c>
      <c r="C440" s="287"/>
      <c r="D440" s="216">
        <f>Лист1!C145*$A$294</f>
        <v>2.0499999999999998</v>
      </c>
      <c r="E440" s="375">
        <f>Лист1!D145</f>
        <v>69</v>
      </c>
      <c r="F440" s="218">
        <f t="shared" si="14"/>
        <v>141.44999999999999</v>
      </c>
      <c r="H440" s="306"/>
      <c r="I440" s="115"/>
    </row>
    <row r="441" spans="1:9" ht="16.5" x14ac:dyDescent="0.25">
      <c r="A441" s="366" t="str">
        <f>Лист1!B146</f>
        <v>Клей Cosmofen СА-12  20гр /флакон прозр.  /20/</v>
      </c>
      <c r="B441" s="219" t="s">
        <v>88</v>
      </c>
      <c r="C441" s="287"/>
      <c r="D441" s="216">
        <f>Лист1!C146*$A$294</f>
        <v>0.41</v>
      </c>
      <c r="E441" s="375">
        <f>Лист1!D146</f>
        <v>180</v>
      </c>
      <c r="F441" s="218">
        <f t="shared" si="14"/>
        <v>73.8</v>
      </c>
      <c r="H441" s="306"/>
      <c r="I441" s="115"/>
    </row>
    <row r="442" spans="1:9" ht="16.5" x14ac:dyDescent="0.25">
      <c r="A442" s="366" t="str">
        <f>Лист1!B147</f>
        <v>Сверло ЗУБР "МАСТЕР" по бетону ударное, 6х150мм</v>
      </c>
      <c r="B442" s="219" t="s">
        <v>88</v>
      </c>
      <c r="C442" s="287"/>
      <c r="D442" s="216">
        <f>Лист1!C147*$A$294</f>
        <v>0.41</v>
      </c>
      <c r="E442" s="375">
        <f>Лист1!D147</f>
        <v>62</v>
      </c>
      <c r="F442" s="218">
        <f t="shared" si="14"/>
        <v>25.419999999999998</v>
      </c>
      <c r="H442" s="306"/>
      <c r="I442" s="115"/>
    </row>
    <row r="443" spans="1:9" ht="33" x14ac:dyDescent="0.25">
      <c r="A443" s="366" t="str">
        <f>Лист1!B148</f>
        <v>Сверло ЗУБР "СУПЕР-6" по бетону ударное, шестигранный хвостовик, 4x75мм</v>
      </c>
      <c r="B443" s="219" t="s">
        <v>88</v>
      </c>
      <c r="C443" s="287"/>
      <c r="D443" s="216">
        <f>Лист1!C148*$A$294</f>
        <v>0.41</v>
      </c>
      <c r="E443" s="375">
        <f>Лист1!D148</f>
        <v>42</v>
      </c>
      <c r="F443" s="218">
        <f t="shared" si="14"/>
        <v>17.22</v>
      </c>
      <c r="H443" s="306"/>
      <c r="I443" s="115"/>
    </row>
    <row r="444" spans="1:9" ht="16.5" x14ac:dyDescent="0.25">
      <c r="A444" s="366" t="str">
        <f>Лист1!B149</f>
        <v>Профиль потолочный А-3 2,0м в сборе (М) (10)</v>
      </c>
      <c r="B444" s="219" t="s">
        <v>88</v>
      </c>
      <c r="C444" s="287"/>
      <c r="D444" s="216">
        <f>Лист1!C149*$A$294</f>
        <v>0.41</v>
      </c>
      <c r="E444" s="375">
        <f>Лист1!D149</f>
        <v>223</v>
      </c>
      <c r="F444" s="218">
        <f t="shared" si="14"/>
        <v>91.429999999999993</v>
      </c>
      <c r="H444" s="306"/>
      <c r="I444" s="115"/>
    </row>
    <row r="445" spans="1:9" ht="15" customHeight="1" x14ac:dyDescent="0.25">
      <c r="A445" s="366" t="str">
        <f>Лист1!B150</f>
        <v>Клеёнка силиконовая Dekorelle 1,20*20м прозрачная (толщина 0,8мм)</v>
      </c>
      <c r="B445" s="219" t="s">
        <v>88</v>
      </c>
      <c r="C445" s="287"/>
      <c r="D445" s="216">
        <f>Лист1!C150*$A$294</f>
        <v>0.49199999999999994</v>
      </c>
      <c r="E445" s="375">
        <f>Лист1!D150</f>
        <v>467</v>
      </c>
      <c r="F445" s="218">
        <f t="shared" si="14"/>
        <v>229.76399999999998</v>
      </c>
      <c r="H445" s="306"/>
      <c r="I445" s="115"/>
    </row>
    <row r="446" spans="1:9" ht="16.5" x14ac:dyDescent="0.25">
      <c r="A446" s="366" t="str">
        <f>Лист1!B151</f>
        <v>антифриз УАЗ</v>
      </c>
      <c r="B446" s="219" t="s">
        <v>88</v>
      </c>
      <c r="C446" s="287"/>
      <c r="D446" s="216">
        <f>Лист1!C151*$A$294</f>
        <v>0.82</v>
      </c>
      <c r="E446" s="375">
        <f>Лист1!D151</f>
        <v>630</v>
      </c>
      <c r="F446" s="218">
        <f t="shared" si="14"/>
        <v>516.6</v>
      </c>
      <c r="H446" s="306"/>
      <c r="I446" s="115"/>
    </row>
    <row r="447" spans="1:9" ht="16.5" x14ac:dyDescent="0.25">
      <c r="A447" s="366" t="str">
        <f>Лист1!B152</f>
        <v>ГСМ УАЗ (Масло двигатель)</v>
      </c>
      <c r="B447" s="219" t="s">
        <v>88</v>
      </c>
      <c r="C447" s="287"/>
      <c r="D447" s="216">
        <f>Лист1!C152*$A$294</f>
        <v>3.28</v>
      </c>
      <c r="E447" s="375">
        <f>Лист1!D152</f>
        <v>2963.25</v>
      </c>
      <c r="F447" s="218">
        <f t="shared" si="14"/>
        <v>9719.4599999999991</v>
      </c>
      <c r="H447" s="306"/>
      <c r="I447" s="115"/>
    </row>
    <row r="448" spans="1:9" ht="16.5" x14ac:dyDescent="0.25">
      <c r="A448" s="366" t="str">
        <f>Лист1!B153</f>
        <v>ГСМ Бензин</v>
      </c>
      <c r="B448" s="219" t="s">
        <v>88</v>
      </c>
      <c r="C448" s="287"/>
      <c r="D448" s="216">
        <f>Лист1!C153*$A$294</f>
        <v>1230</v>
      </c>
      <c r="E448" s="375">
        <f>Лист1!D153</f>
        <v>48.77</v>
      </c>
      <c r="F448" s="218">
        <f t="shared" si="14"/>
        <v>59987.100000000006</v>
      </c>
      <c r="H448" s="306"/>
      <c r="I448" s="115"/>
    </row>
    <row r="449" spans="1:9" ht="16.5" x14ac:dyDescent="0.25">
      <c r="A449" s="366" t="str">
        <f>Лист1!B154</f>
        <v>перчатки нитриловые L</v>
      </c>
      <c r="B449" s="219" t="s">
        <v>88</v>
      </c>
      <c r="C449" s="287"/>
      <c r="D449" s="216">
        <f>Лист1!C154*$A$294</f>
        <v>328</v>
      </c>
      <c r="E449" s="375">
        <f>Лист1!D154</f>
        <v>40</v>
      </c>
      <c r="F449" s="218">
        <f t="shared" si="14"/>
        <v>13120</v>
      </c>
      <c r="H449" s="306"/>
      <c r="I449" s="115"/>
    </row>
    <row r="450" spans="1:9" ht="16.5" x14ac:dyDescent="0.25">
      <c r="A450" s="366" t="str">
        <f>Лист1!B155</f>
        <v>перчатки нитриловые М</v>
      </c>
      <c r="B450" s="219" t="s">
        <v>88</v>
      </c>
      <c r="C450" s="287"/>
      <c r="D450" s="216">
        <f>Лист1!C155*$A$294</f>
        <v>328</v>
      </c>
      <c r="E450" s="375">
        <f>Лист1!D155</f>
        <v>40</v>
      </c>
      <c r="F450" s="218">
        <f t="shared" si="14"/>
        <v>13120</v>
      </c>
      <c r="H450" s="306"/>
      <c r="I450" s="115"/>
    </row>
    <row r="451" spans="1:9" ht="16.5" x14ac:dyDescent="0.25">
      <c r="A451" s="366" t="str">
        <f>Лист1!B156</f>
        <v>маска мед одноразовая</v>
      </c>
      <c r="B451" s="219" t="s">
        <v>88</v>
      </c>
      <c r="C451" s="308"/>
      <c r="D451" s="216">
        <f>Лист1!C156*$A$294</f>
        <v>410</v>
      </c>
      <c r="E451" s="375">
        <f>Лист1!D156</f>
        <v>20</v>
      </c>
      <c r="F451" s="218">
        <f t="shared" si="14"/>
        <v>8200</v>
      </c>
      <c r="H451" s="306"/>
      <c r="I451" s="115"/>
    </row>
    <row r="452" spans="1:9" ht="16.5" x14ac:dyDescent="0.25">
      <c r="A452" s="366" t="str">
        <f>Лист1!B157</f>
        <v>скреппер волокуша для снега</v>
      </c>
      <c r="B452" s="219" t="s">
        <v>88</v>
      </c>
      <c r="C452" s="308"/>
      <c r="D452" s="216">
        <f>Лист1!C157*$A$294</f>
        <v>0.41</v>
      </c>
      <c r="E452" s="375">
        <f>Лист1!D157</f>
        <v>1077.5999999999999</v>
      </c>
      <c r="F452" s="218">
        <f t="shared" si="14"/>
        <v>441.81599999999992</v>
      </c>
      <c r="H452" s="306"/>
      <c r="I452" s="115"/>
    </row>
    <row r="453" spans="1:9" ht="16.5" x14ac:dyDescent="0.25">
      <c r="A453" s="366" t="str">
        <f>Лист1!B158</f>
        <v>мультиДез 1л</v>
      </c>
      <c r="B453" s="219" t="s">
        <v>88</v>
      </c>
      <c r="C453" s="308"/>
      <c r="D453" s="216">
        <f>Лист1!C158*$A$294</f>
        <v>4.0999999999999996</v>
      </c>
      <c r="E453" s="375">
        <f>Лист1!D158</f>
        <v>1200</v>
      </c>
      <c r="F453" s="218">
        <f t="shared" si="14"/>
        <v>4920</v>
      </c>
      <c r="H453" s="306"/>
      <c r="I453" s="115"/>
    </row>
    <row r="454" spans="1:9" ht="16.5" x14ac:dyDescent="0.25">
      <c r="A454" s="366" t="str">
        <f>Лист1!B159</f>
        <v>Мульти ДезТефлекс 0,5</v>
      </c>
      <c r="B454" s="219" t="s">
        <v>88</v>
      </c>
      <c r="C454" s="308"/>
      <c r="D454" s="216">
        <f>Лист1!C159*$A$294</f>
        <v>1.64</v>
      </c>
      <c r="E454" s="375">
        <f>Лист1!D159</f>
        <v>500</v>
      </c>
      <c r="F454" s="218">
        <f t="shared" si="14"/>
        <v>820</v>
      </c>
      <c r="H454" s="306"/>
      <c r="I454" s="115"/>
    </row>
    <row r="455" spans="1:9" x14ac:dyDescent="0.25">
      <c r="A455" s="304"/>
      <c r="E455" s="89" t="s">
        <v>214</v>
      </c>
      <c r="F455" s="262">
        <f>SUM(F298:F454)</f>
        <v>220221.25</v>
      </c>
    </row>
    <row r="456" spans="1:9" x14ac:dyDescent="0.25">
      <c r="A456" s="213"/>
    </row>
    <row r="457" spans="1:9" x14ac:dyDescent="0.25">
      <c r="A457" s="213"/>
    </row>
    <row r="458" spans="1:9" x14ac:dyDescent="0.25">
      <c r="A458" s="213"/>
    </row>
    <row r="459" spans="1:9" x14ac:dyDescent="0.25">
      <c r="A459" s="213"/>
    </row>
    <row r="460" spans="1:9" x14ac:dyDescent="0.25">
      <c r="A460" s="213"/>
    </row>
  </sheetData>
  <mergeCells count="138">
    <mergeCell ref="A219:F219"/>
    <mergeCell ref="B183:B185"/>
    <mergeCell ref="D183:D185"/>
    <mergeCell ref="E183:F183"/>
    <mergeCell ref="G183:G185"/>
    <mergeCell ref="E222:E223"/>
    <mergeCell ref="A204:A206"/>
    <mergeCell ref="B204:C206"/>
    <mergeCell ref="D204:F204"/>
    <mergeCell ref="D205:D206"/>
    <mergeCell ref="E205:E206"/>
    <mergeCell ref="F205:F206"/>
    <mergeCell ref="B207:C207"/>
    <mergeCell ref="A213:F213"/>
    <mergeCell ref="A220:E220"/>
    <mergeCell ref="A194:H194"/>
    <mergeCell ref="A195:A197"/>
    <mergeCell ref="B195:C197"/>
    <mergeCell ref="D195:D197"/>
    <mergeCell ref="E195:E197"/>
    <mergeCell ref="F195:F197"/>
    <mergeCell ref="B198:C198"/>
    <mergeCell ref="B200:C200"/>
    <mergeCell ref="A203:H203"/>
    <mergeCell ref="I183:I185"/>
    <mergeCell ref="B186:B187"/>
    <mergeCell ref="D186:D187"/>
    <mergeCell ref="E186:E187"/>
    <mergeCell ref="F186:F187"/>
    <mergeCell ref="G186:G187"/>
    <mergeCell ref="I186:I187"/>
    <mergeCell ref="A1:H1"/>
    <mergeCell ref="A8:E8"/>
    <mergeCell ref="D9:E9"/>
    <mergeCell ref="D10:E10"/>
    <mergeCell ref="D12:E12"/>
    <mergeCell ref="D14:E14"/>
    <mergeCell ref="B36:C36"/>
    <mergeCell ref="B33:C33"/>
    <mergeCell ref="B35:C35"/>
    <mergeCell ref="A30:A32"/>
    <mergeCell ref="B30:C32"/>
    <mergeCell ref="D30:D32"/>
    <mergeCell ref="E30:E32"/>
    <mergeCell ref="F30:F32"/>
    <mergeCell ref="G50:G51"/>
    <mergeCell ref="A52:B52"/>
    <mergeCell ref="A186:A187"/>
    <mergeCell ref="A192:F192"/>
    <mergeCell ref="A19:B19"/>
    <mergeCell ref="B3:H3"/>
    <mergeCell ref="A4:E4"/>
    <mergeCell ref="A5:E5"/>
    <mergeCell ref="A6:E6"/>
    <mergeCell ref="A7:E7"/>
    <mergeCell ref="A16:F16"/>
    <mergeCell ref="A18:F18"/>
    <mergeCell ref="F60:F61"/>
    <mergeCell ref="A56:B56"/>
    <mergeCell ref="A58:F58"/>
    <mergeCell ref="C60:C61"/>
    <mergeCell ref="D60:D61"/>
    <mergeCell ref="E60:E61"/>
    <mergeCell ref="D39:E39"/>
    <mergeCell ref="F50:F51"/>
    <mergeCell ref="A181:F181"/>
    <mergeCell ref="D50:D51"/>
    <mergeCell ref="E50:E51"/>
    <mergeCell ref="A50:B51"/>
    <mergeCell ref="B60:B61"/>
    <mergeCell ref="A183:A185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B42:C42"/>
    <mergeCell ref="A239:B239"/>
    <mergeCell ref="F222:F223"/>
    <mergeCell ref="A231:E231"/>
    <mergeCell ref="A232:F232"/>
    <mergeCell ref="A235:B235"/>
    <mergeCell ref="A222:A223"/>
    <mergeCell ref="B222:B223"/>
    <mergeCell ref="D222:D223"/>
    <mergeCell ref="G254:G255"/>
    <mergeCell ref="A243:A244"/>
    <mergeCell ref="B243:B244"/>
    <mergeCell ref="D243:D244"/>
    <mergeCell ref="E243:E244"/>
    <mergeCell ref="F243:F244"/>
    <mergeCell ref="G243:G244"/>
    <mergeCell ref="A251:F251"/>
    <mergeCell ref="A252:F252"/>
    <mergeCell ref="F254:F255"/>
    <mergeCell ref="A236:B236"/>
    <mergeCell ref="A60:A61"/>
    <mergeCell ref="A240:B240"/>
    <mergeCell ref="A292:E292"/>
    <mergeCell ref="A293:F293"/>
    <mergeCell ref="A295:A296"/>
    <mergeCell ref="B295:B296"/>
    <mergeCell ref="D295:D296"/>
    <mergeCell ref="E295:E296"/>
    <mergeCell ref="F295:F296"/>
    <mergeCell ref="A259:F259"/>
    <mergeCell ref="A260:F260"/>
    <mergeCell ref="A261:F261"/>
    <mergeCell ref="A263:A264"/>
    <mergeCell ref="B263:B264"/>
    <mergeCell ref="D263:D264"/>
    <mergeCell ref="E263:E264"/>
    <mergeCell ref="F263:F264"/>
    <mergeCell ref="A241:F241"/>
    <mergeCell ref="A254:A255"/>
    <mergeCell ref="B254:B255"/>
    <mergeCell ref="D254:D255"/>
    <mergeCell ref="E254:E255"/>
    <mergeCell ref="A237:B237"/>
    <mergeCell ref="A238:B238"/>
  </mergeCells>
  <printOptions horizontalCentered="1" verticalCentered="1"/>
  <pageMargins left="0.35433070866141736" right="0.31496062992125984" top="0.35433070866141736" bottom="0.35433070866141736" header="0" footer="0"/>
  <pageSetup paperSize="9" scale="45" fitToHeight="4" orientation="portrait" r:id="rId1"/>
  <rowBreaks count="3" manualBreakCount="3">
    <brk id="57" max="9" man="1"/>
    <brk id="240" max="9" man="1"/>
    <brk id="29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186"/>
  <sheetViews>
    <sheetView topLeftCell="A109" workbookViewId="0">
      <selection activeCell="A122" sqref="A122:A159"/>
    </sheetView>
  </sheetViews>
  <sheetFormatPr defaultRowHeight="15" x14ac:dyDescent="0.25"/>
  <cols>
    <col min="2" max="2" width="17.125" customWidth="1"/>
    <col min="4" max="4" width="10.375" customWidth="1"/>
  </cols>
  <sheetData>
    <row r="1" spans="1:5" ht="15" customHeight="1" x14ac:dyDescent="0.25">
      <c r="A1" s="223" t="s">
        <v>187</v>
      </c>
      <c r="B1" s="387" t="s">
        <v>115</v>
      </c>
      <c r="C1" s="223" t="s">
        <v>188</v>
      </c>
      <c r="D1" s="222" t="s">
        <v>189</v>
      </c>
      <c r="E1" s="387"/>
    </row>
    <row r="2" spans="1:5" ht="15" customHeight="1" x14ac:dyDescent="0.25">
      <c r="A2" s="223">
        <v>1</v>
      </c>
      <c r="B2" s="386">
        <v>2</v>
      </c>
      <c r="C2" s="223">
        <v>3</v>
      </c>
      <c r="D2" s="223">
        <v>4</v>
      </c>
      <c r="E2" s="392"/>
    </row>
    <row r="3" spans="1:5" ht="15" customHeight="1" x14ac:dyDescent="0.25">
      <c r="A3" s="223">
        <v>1</v>
      </c>
      <c r="B3" s="366" t="s">
        <v>554</v>
      </c>
      <c r="C3" s="368">
        <v>1</v>
      </c>
      <c r="D3" s="370">
        <v>9000</v>
      </c>
      <c r="E3" s="275">
        <f>C3*D3</f>
        <v>9000</v>
      </c>
    </row>
    <row r="4" spans="1:5" ht="15" customHeight="1" x14ac:dyDescent="0.25">
      <c r="A4" s="223">
        <v>2</v>
      </c>
      <c r="B4" s="366" t="s">
        <v>555</v>
      </c>
      <c r="C4" s="368">
        <v>1</v>
      </c>
      <c r="D4" s="370">
        <v>10000</v>
      </c>
      <c r="E4" s="275">
        <f>C4*D4</f>
        <v>10000</v>
      </c>
    </row>
    <row r="5" spans="1:5" ht="15" customHeight="1" x14ac:dyDescent="0.25">
      <c r="A5" s="223">
        <v>3</v>
      </c>
      <c r="B5" s="366" t="s">
        <v>556</v>
      </c>
      <c r="C5" s="368">
        <v>10</v>
      </c>
      <c r="D5" s="370">
        <v>600</v>
      </c>
      <c r="E5" s="275">
        <f>C5*D5</f>
        <v>6000</v>
      </c>
    </row>
    <row r="6" spans="1:5" ht="15" customHeight="1" x14ac:dyDescent="0.25">
      <c r="A6" s="223">
        <v>4</v>
      </c>
      <c r="B6" s="366" t="s">
        <v>526</v>
      </c>
      <c r="C6" s="368">
        <v>5</v>
      </c>
      <c r="D6" s="370">
        <v>6600</v>
      </c>
      <c r="E6" s="275">
        <f t="shared" ref="E6:E11" si="0">C6*D6</f>
        <v>33000</v>
      </c>
    </row>
    <row r="7" spans="1:5" ht="15" customHeight="1" x14ac:dyDescent="0.25">
      <c r="A7" s="223">
        <v>5</v>
      </c>
      <c r="B7" s="366" t="s">
        <v>263</v>
      </c>
      <c r="C7" s="368">
        <v>9</v>
      </c>
      <c r="D7" s="370">
        <v>1860</v>
      </c>
      <c r="E7" s="275">
        <f t="shared" si="0"/>
        <v>16740</v>
      </c>
    </row>
    <row r="8" spans="1:5" ht="15" customHeight="1" x14ac:dyDescent="0.25">
      <c r="A8" s="223">
        <v>6</v>
      </c>
      <c r="B8" s="366" t="s">
        <v>264</v>
      </c>
      <c r="C8" s="368">
        <v>3</v>
      </c>
      <c r="D8" s="370">
        <v>3689</v>
      </c>
      <c r="E8" s="275">
        <f t="shared" si="0"/>
        <v>11067</v>
      </c>
    </row>
    <row r="9" spans="1:5" ht="33" x14ac:dyDescent="0.25">
      <c r="A9" s="223">
        <v>7</v>
      </c>
      <c r="B9" s="366" t="s">
        <v>265</v>
      </c>
      <c r="C9" s="368">
        <v>12</v>
      </c>
      <c r="D9" s="370">
        <v>800</v>
      </c>
      <c r="E9" s="275">
        <f t="shared" si="0"/>
        <v>9600</v>
      </c>
    </row>
    <row r="10" spans="1:5" ht="15" customHeight="1" x14ac:dyDescent="0.25">
      <c r="A10" s="223">
        <v>8</v>
      </c>
      <c r="B10" s="367" t="s">
        <v>266</v>
      </c>
      <c r="C10" s="369">
        <v>30</v>
      </c>
      <c r="D10" s="371">
        <v>300</v>
      </c>
      <c r="E10" s="275">
        <f t="shared" si="0"/>
        <v>9000</v>
      </c>
    </row>
    <row r="11" spans="1:5" ht="15" customHeight="1" x14ac:dyDescent="0.25">
      <c r="A11" s="223">
        <v>12</v>
      </c>
      <c r="B11" s="367" t="s">
        <v>267</v>
      </c>
      <c r="C11" s="369">
        <v>20</v>
      </c>
      <c r="D11" s="371">
        <v>400</v>
      </c>
      <c r="E11" s="275">
        <f t="shared" si="0"/>
        <v>8000</v>
      </c>
    </row>
    <row r="12" spans="1:5" ht="15" customHeight="1" x14ac:dyDescent="0.25">
      <c r="A12" s="223">
        <v>24</v>
      </c>
      <c r="B12" s="367" t="s">
        <v>256</v>
      </c>
      <c r="C12" s="368">
        <v>1</v>
      </c>
      <c r="D12" s="370">
        <v>1000</v>
      </c>
      <c r="E12" s="274">
        <f t="shared" ref="E12:E13" si="1">C12*D12</f>
        <v>1000</v>
      </c>
    </row>
    <row r="13" spans="1:5" ht="16.5" x14ac:dyDescent="0.25">
      <c r="A13" s="272">
        <v>35</v>
      </c>
      <c r="B13" s="367" t="s">
        <v>258</v>
      </c>
      <c r="C13" s="368">
        <v>30</v>
      </c>
      <c r="D13" s="370">
        <v>183</v>
      </c>
      <c r="E13" s="274">
        <f t="shared" si="1"/>
        <v>5490</v>
      </c>
    </row>
    <row r="14" spans="1:5" ht="33" x14ac:dyDescent="0.25">
      <c r="A14" s="272"/>
      <c r="B14" s="367" t="s">
        <v>328</v>
      </c>
      <c r="C14" s="368">
        <v>10</v>
      </c>
      <c r="D14" s="370">
        <v>100</v>
      </c>
      <c r="E14" s="393">
        <f t="shared" ref="E14:E65" si="2">C14*D14</f>
        <v>1000</v>
      </c>
    </row>
    <row r="15" spans="1:5" ht="33" x14ac:dyDescent="0.25">
      <c r="A15" s="272"/>
      <c r="B15" s="367" t="s">
        <v>557</v>
      </c>
      <c r="C15" s="368">
        <v>2</v>
      </c>
      <c r="D15" s="370">
        <v>500</v>
      </c>
      <c r="E15" s="393">
        <f t="shared" si="2"/>
        <v>1000</v>
      </c>
    </row>
    <row r="16" spans="1:5" ht="33" x14ac:dyDescent="0.25">
      <c r="A16" s="272"/>
      <c r="B16" s="367" t="s">
        <v>558</v>
      </c>
      <c r="C16" s="368">
        <v>5</v>
      </c>
      <c r="D16" s="370">
        <v>200</v>
      </c>
      <c r="E16" s="393">
        <f t="shared" si="2"/>
        <v>1000</v>
      </c>
    </row>
    <row r="17" spans="1:5" ht="15" customHeight="1" x14ac:dyDescent="0.25">
      <c r="A17" s="272"/>
      <c r="B17" s="367" t="s">
        <v>559</v>
      </c>
      <c r="C17" s="368">
        <v>1</v>
      </c>
      <c r="D17" s="370">
        <v>466</v>
      </c>
      <c r="E17" s="393">
        <f t="shared" si="2"/>
        <v>466</v>
      </c>
    </row>
    <row r="18" spans="1:5" ht="15" customHeight="1" x14ac:dyDescent="0.25">
      <c r="A18" s="272"/>
      <c r="B18" s="367" t="s">
        <v>560</v>
      </c>
      <c r="C18" s="368">
        <v>1</v>
      </c>
      <c r="D18" s="370">
        <v>1385</v>
      </c>
      <c r="E18" s="393">
        <f t="shared" si="2"/>
        <v>1385</v>
      </c>
    </row>
    <row r="19" spans="1:5" ht="15" customHeight="1" x14ac:dyDescent="0.25">
      <c r="A19" s="272"/>
      <c r="B19" s="367" t="s">
        <v>317</v>
      </c>
      <c r="C19" s="368">
        <v>2</v>
      </c>
      <c r="D19" s="370">
        <v>25</v>
      </c>
      <c r="E19" s="393">
        <f t="shared" si="2"/>
        <v>50</v>
      </c>
    </row>
    <row r="20" spans="1:5" ht="15" customHeight="1" x14ac:dyDescent="0.25">
      <c r="A20" s="272"/>
      <c r="B20" s="367" t="s">
        <v>561</v>
      </c>
      <c r="C20" s="368">
        <v>6</v>
      </c>
      <c r="D20" s="370">
        <v>60</v>
      </c>
      <c r="E20" s="393">
        <f t="shared" si="2"/>
        <v>360</v>
      </c>
    </row>
    <row r="21" spans="1:5" ht="15" customHeight="1" x14ac:dyDescent="0.25">
      <c r="A21" s="272"/>
      <c r="B21" s="367" t="s">
        <v>562</v>
      </c>
      <c r="C21" s="368">
        <v>1</v>
      </c>
      <c r="D21" s="370">
        <v>1195</v>
      </c>
      <c r="E21" s="393">
        <f t="shared" si="2"/>
        <v>1195</v>
      </c>
    </row>
    <row r="22" spans="1:5" ht="15" customHeight="1" x14ac:dyDescent="0.25">
      <c r="A22" s="272"/>
      <c r="B22" s="367" t="s">
        <v>307</v>
      </c>
      <c r="C22" s="368">
        <v>9</v>
      </c>
      <c r="D22" s="370">
        <v>50</v>
      </c>
      <c r="E22" s="393">
        <f t="shared" si="2"/>
        <v>450</v>
      </c>
    </row>
    <row r="23" spans="1:5" ht="15" customHeight="1" x14ac:dyDescent="0.25">
      <c r="A23" s="272"/>
      <c r="B23" s="367" t="s">
        <v>563</v>
      </c>
      <c r="C23" s="368">
        <v>1</v>
      </c>
      <c r="D23" s="370">
        <v>250</v>
      </c>
      <c r="E23" s="393">
        <f t="shared" si="2"/>
        <v>250</v>
      </c>
    </row>
    <row r="24" spans="1:5" ht="15" customHeight="1" x14ac:dyDescent="0.25">
      <c r="A24" s="272"/>
      <c r="B24" s="367" t="s">
        <v>268</v>
      </c>
      <c r="C24" s="368">
        <v>3</v>
      </c>
      <c r="D24" s="370">
        <v>100</v>
      </c>
      <c r="E24" s="393">
        <f t="shared" si="2"/>
        <v>300</v>
      </c>
    </row>
    <row r="25" spans="1:5" ht="15" customHeight="1" x14ac:dyDescent="0.25">
      <c r="A25" s="272"/>
      <c r="B25" s="367" t="s">
        <v>259</v>
      </c>
      <c r="C25" s="368">
        <v>2</v>
      </c>
      <c r="D25" s="370">
        <v>27.5</v>
      </c>
      <c r="E25" s="393">
        <f t="shared" si="2"/>
        <v>55</v>
      </c>
    </row>
    <row r="26" spans="1:5" ht="15" customHeight="1" x14ac:dyDescent="0.25">
      <c r="A26" s="272"/>
      <c r="B26" s="367" t="s">
        <v>269</v>
      </c>
      <c r="C26" s="368">
        <v>2</v>
      </c>
      <c r="D26" s="370">
        <v>2200</v>
      </c>
      <c r="E26" s="393">
        <f t="shared" si="2"/>
        <v>4400</v>
      </c>
    </row>
    <row r="27" spans="1:5" ht="15" customHeight="1" x14ac:dyDescent="0.25">
      <c r="A27" s="272"/>
      <c r="B27" s="367" t="s">
        <v>270</v>
      </c>
      <c r="C27" s="368">
        <v>1</v>
      </c>
      <c r="D27" s="370">
        <v>1600</v>
      </c>
      <c r="E27" s="393">
        <f t="shared" si="2"/>
        <v>1600</v>
      </c>
    </row>
    <row r="28" spans="1:5" ht="15" customHeight="1" x14ac:dyDescent="0.25">
      <c r="A28" s="272"/>
      <c r="B28" s="367" t="s">
        <v>271</v>
      </c>
      <c r="C28" s="368">
        <v>2</v>
      </c>
      <c r="D28" s="370">
        <v>180</v>
      </c>
      <c r="E28" s="393">
        <f t="shared" si="2"/>
        <v>360</v>
      </c>
    </row>
    <row r="29" spans="1:5" ht="15" customHeight="1" x14ac:dyDescent="0.25">
      <c r="A29" s="272"/>
      <c r="B29" s="367" t="s">
        <v>272</v>
      </c>
      <c r="C29" s="368">
        <v>8</v>
      </c>
      <c r="D29" s="370">
        <v>216.5</v>
      </c>
      <c r="E29" s="393">
        <f t="shared" si="2"/>
        <v>1732</v>
      </c>
    </row>
    <row r="30" spans="1:5" ht="15" customHeight="1" x14ac:dyDescent="0.25">
      <c r="A30" s="272"/>
      <c r="B30" s="367" t="s">
        <v>273</v>
      </c>
      <c r="C30" s="368">
        <v>1</v>
      </c>
      <c r="D30" s="370">
        <v>5</v>
      </c>
      <c r="E30" s="393">
        <f t="shared" si="2"/>
        <v>5</v>
      </c>
    </row>
    <row r="31" spans="1:5" ht="15" customHeight="1" x14ac:dyDescent="0.25">
      <c r="A31" s="272"/>
      <c r="B31" s="367" t="s">
        <v>274</v>
      </c>
      <c r="C31" s="368">
        <v>2</v>
      </c>
      <c r="D31" s="370">
        <v>240</v>
      </c>
      <c r="E31" s="393">
        <f t="shared" si="2"/>
        <v>480</v>
      </c>
    </row>
    <row r="32" spans="1:5" ht="15" customHeight="1" x14ac:dyDescent="0.25">
      <c r="A32" s="272"/>
      <c r="B32" s="367" t="s">
        <v>275</v>
      </c>
      <c r="C32" s="368">
        <v>1</v>
      </c>
      <c r="D32" s="370">
        <v>359</v>
      </c>
      <c r="E32" s="393">
        <f t="shared" si="2"/>
        <v>359</v>
      </c>
    </row>
    <row r="33" spans="1:5" ht="15" customHeight="1" x14ac:dyDescent="0.25">
      <c r="A33" s="272"/>
      <c r="B33" s="367" t="s">
        <v>276</v>
      </c>
      <c r="C33" s="368">
        <v>2</v>
      </c>
      <c r="D33" s="370">
        <v>560</v>
      </c>
      <c r="E33" s="393">
        <f t="shared" si="2"/>
        <v>1120</v>
      </c>
    </row>
    <row r="34" spans="1:5" ht="15" customHeight="1" x14ac:dyDescent="0.25">
      <c r="A34" s="272"/>
      <c r="B34" s="367" t="s">
        <v>277</v>
      </c>
      <c r="C34" s="368">
        <v>1</v>
      </c>
      <c r="D34" s="370">
        <v>677</v>
      </c>
      <c r="E34" s="393">
        <f t="shared" si="2"/>
        <v>677</v>
      </c>
    </row>
    <row r="35" spans="1:5" ht="15" customHeight="1" x14ac:dyDescent="0.25">
      <c r="A35" s="272"/>
      <c r="B35" s="367" t="s">
        <v>278</v>
      </c>
      <c r="C35" s="368">
        <v>3</v>
      </c>
      <c r="D35" s="370">
        <v>650</v>
      </c>
      <c r="E35" s="393">
        <f t="shared" si="2"/>
        <v>1950</v>
      </c>
    </row>
    <row r="36" spans="1:5" ht="15" customHeight="1" x14ac:dyDescent="0.25">
      <c r="A36" s="272"/>
      <c r="B36" s="367" t="s">
        <v>279</v>
      </c>
      <c r="C36" s="368">
        <v>2</v>
      </c>
      <c r="D36" s="370">
        <v>32</v>
      </c>
      <c r="E36" s="393">
        <f t="shared" si="2"/>
        <v>64</v>
      </c>
    </row>
    <row r="37" spans="1:5" ht="15" customHeight="1" x14ac:dyDescent="0.25">
      <c r="A37" s="272"/>
      <c r="B37" s="367" t="s">
        <v>280</v>
      </c>
      <c r="C37" s="368">
        <v>1</v>
      </c>
      <c r="D37" s="370">
        <v>250</v>
      </c>
      <c r="E37" s="393">
        <f t="shared" si="2"/>
        <v>250</v>
      </c>
    </row>
    <row r="38" spans="1:5" ht="15" customHeight="1" x14ac:dyDescent="0.25">
      <c r="A38" s="272"/>
      <c r="B38" s="367" t="s">
        <v>281</v>
      </c>
      <c r="C38" s="368">
        <v>11</v>
      </c>
      <c r="D38" s="370">
        <v>50</v>
      </c>
      <c r="E38" s="393">
        <f t="shared" si="2"/>
        <v>550</v>
      </c>
    </row>
    <row r="39" spans="1:5" ht="15" customHeight="1" x14ac:dyDescent="0.25">
      <c r="A39" s="272"/>
      <c r="B39" s="367" t="s">
        <v>281</v>
      </c>
      <c r="C39" s="368">
        <v>3</v>
      </c>
      <c r="D39" s="370">
        <v>41</v>
      </c>
      <c r="E39" s="393">
        <f t="shared" si="2"/>
        <v>123</v>
      </c>
    </row>
    <row r="40" spans="1:5" ht="15" customHeight="1" x14ac:dyDescent="0.25">
      <c r="A40" s="272"/>
      <c r="B40" s="367" t="s">
        <v>281</v>
      </c>
      <c r="C40" s="368">
        <v>1</v>
      </c>
      <c r="D40" s="370">
        <v>50</v>
      </c>
      <c r="E40" s="393">
        <f t="shared" si="2"/>
        <v>50</v>
      </c>
    </row>
    <row r="41" spans="1:5" ht="15" customHeight="1" x14ac:dyDescent="0.25">
      <c r="A41" s="272"/>
      <c r="B41" s="367" t="s">
        <v>282</v>
      </c>
      <c r="C41" s="368">
        <v>1</v>
      </c>
      <c r="D41" s="370">
        <v>144</v>
      </c>
      <c r="E41" s="393">
        <f t="shared" si="2"/>
        <v>144</v>
      </c>
    </row>
    <row r="42" spans="1:5" ht="15" customHeight="1" x14ac:dyDescent="0.25">
      <c r="A42" s="272"/>
      <c r="B42" s="367" t="s">
        <v>283</v>
      </c>
      <c r="C42" s="368">
        <v>1</v>
      </c>
      <c r="D42" s="370">
        <v>95</v>
      </c>
      <c r="E42" s="393">
        <f t="shared" si="2"/>
        <v>95</v>
      </c>
    </row>
    <row r="43" spans="1:5" ht="15" customHeight="1" x14ac:dyDescent="0.25">
      <c r="A43" s="272"/>
      <c r="B43" s="367" t="s">
        <v>284</v>
      </c>
      <c r="C43" s="368">
        <v>50</v>
      </c>
      <c r="D43" s="370">
        <v>3.5</v>
      </c>
      <c r="E43" s="393">
        <f t="shared" si="2"/>
        <v>175</v>
      </c>
    </row>
    <row r="44" spans="1:5" ht="15" customHeight="1" x14ac:dyDescent="0.25">
      <c r="A44" s="272"/>
      <c r="B44" s="367" t="s">
        <v>285</v>
      </c>
      <c r="C44" s="368">
        <v>2</v>
      </c>
      <c r="D44" s="370">
        <v>219</v>
      </c>
      <c r="E44" s="393">
        <f t="shared" si="2"/>
        <v>438</v>
      </c>
    </row>
    <row r="45" spans="1:5" ht="15" customHeight="1" x14ac:dyDescent="0.25">
      <c r="A45" s="272"/>
      <c r="B45" s="367" t="s">
        <v>286</v>
      </c>
      <c r="C45" s="368">
        <v>2</v>
      </c>
      <c r="D45" s="370">
        <v>80</v>
      </c>
      <c r="E45" s="393">
        <f t="shared" si="2"/>
        <v>160</v>
      </c>
    </row>
    <row r="46" spans="1:5" ht="15" customHeight="1" x14ac:dyDescent="0.25">
      <c r="A46" s="272"/>
      <c r="B46" s="367" t="s">
        <v>287</v>
      </c>
      <c r="C46" s="368">
        <v>1</v>
      </c>
      <c r="D46" s="370">
        <v>2058</v>
      </c>
      <c r="E46" s="393">
        <f t="shared" si="2"/>
        <v>2058</v>
      </c>
    </row>
    <row r="47" spans="1:5" ht="15" customHeight="1" x14ac:dyDescent="0.25">
      <c r="A47" s="272"/>
      <c r="B47" s="367" t="s">
        <v>288</v>
      </c>
      <c r="C47" s="368">
        <v>1</v>
      </c>
      <c r="D47" s="370">
        <v>277</v>
      </c>
      <c r="E47" s="393">
        <f t="shared" si="2"/>
        <v>277</v>
      </c>
    </row>
    <row r="48" spans="1:5" ht="15" customHeight="1" x14ac:dyDescent="0.25">
      <c r="A48" s="272"/>
      <c r="B48" s="367" t="s">
        <v>289</v>
      </c>
      <c r="C48" s="368">
        <v>1</v>
      </c>
      <c r="D48" s="370">
        <v>299</v>
      </c>
      <c r="E48" s="393">
        <f t="shared" si="2"/>
        <v>299</v>
      </c>
    </row>
    <row r="49" spans="1:5" ht="15" customHeight="1" x14ac:dyDescent="0.25">
      <c r="A49" s="272"/>
      <c r="B49" s="367" t="s">
        <v>285</v>
      </c>
      <c r="C49" s="368">
        <v>1</v>
      </c>
      <c r="D49" s="370">
        <v>250</v>
      </c>
      <c r="E49" s="393">
        <f t="shared" si="2"/>
        <v>250</v>
      </c>
    </row>
    <row r="50" spans="1:5" ht="15" customHeight="1" x14ac:dyDescent="0.25">
      <c r="A50" s="272"/>
      <c r="B50" s="367" t="s">
        <v>290</v>
      </c>
      <c r="C50" s="368">
        <v>1</v>
      </c>
      <c r="D50" s="370">
        <v>245</v>
      </c>
      <c r="E50" s="393">
        <f t="shared" si="2"/>
        <v>245</v>
      </c>
    </row>
    <row r="51" spans="1:5" ht="15" customHeight="1" x14ac:dyDescent="0.25">
      <c r="A51" s="272"/>
      <c r="B51" s="367" t="s">
        <v>291</v>
      </c>
      <c r="C51" s="368">
        <v>4</v>
      </c>
      <c r="D51" s="370">
        <v>10</v>
      </c>
      <c r="E51" s="393">
        <f t="shared" si="2"/>
        <v>40</v>
      </c>
    </row>
    <row r="52" spans="1:5" ht="15" customHeight="1" x14ac:dyDescent="0.25">
      <c r="A52" s="272"/>
      <c r="B52" s="367" t="s">
        <v>292</v>
      </c>
      <c r="C52" s="368">
        <v>4</v>
      </c>
      <c r="D52" s="370">
        <v>2</v>
      </c>
      <c r="E52" s="393">
        <f t="shared" si="2"/>
        <v>8</v>
      </c>
    </row>
    <row r="53" spans="1:5" ht="15" customHeight="1" x14ac:dyDescent="0.25">
      <c r="A53" s="272"/>
      <c r="B53" s="367" t="s">
        <v>293</v>
      </c>
      <c r="C53" s="368">
        <v>3</v>
      </c>
      <c r="D53" s="370">
        <v>226</v>
      </c>
      <c r="E53" s="393">
        <f t="shared" si="2"/>
        <v>678</v>
      </c>
    </row>
    <row r="54" spans="1:5" ht="15" customHeight="1" x14ac:dyDescent="0.25">
      <c r="A54" s="272"/>
      <c r="B54" s="367" t="s">
        <v>294</v>
      </c>
      <c r="C54" s="368">
        <v>20</v>
      </c>
      <c r="D54" s="370">
        <v>17</v>
      </c>
      <c r="E54" s="393">
        <f t="shared" si="2"/>
        <v>340</v>
      </c>
    </row>
    <row r="55" spans="1:5" ht="15" customHeight="1" x14ac:dyDescent="0.25">
      <c r="A55" s="272"/>
      <c r="B55" s="367" t="s">
        <v>281</v>
      </c>
      <c r="C55" s="368">
        <v>10</v>
      </c>
      <c r="D55" s="370">
        <v>34</v>
      </c>
      <c r="E55" s="393">
        <f t="shared" si="2"/>
        <v>340</v>
      </c>
    </row>
    <row r="56" spans="1:5" ht="15" customHeight="1" x14ac:dyDescent="0.25">
      <c r="A56" s="272"/>
      <c r="B56" s="367" t="s">
        <v>295</v>
      </c>
      <c r="C56" s="368">
        <v>1</v>
      </c>
      <c r="D56" s="370">
        <v>266</v>
      </c>
      <c r="E56" s="393">
        <f t="shared" si="2"/>
        <v>266</v>
      </c>
    </row>
    <row r="57" spans="1:5" ht="15" customHeight="1" x14ac:dyDescent="0.25">
      <c r="A57" s="272"/>
      <c r="B57" s="367" t="s">
        <v>296</v>
      </c>
      <c r="C57" s="368">
        <v>2</v>
      </c>
      <c r="D57" s="370">
        <v>274</v>
      </c>
      <c r="E57" s="393">
        <f t="shared" si="2"/>
        <v>548</v>
      </c>
    </row>
    <row r="58" spans="1:5" ht="15" customHeight="1" x14ac:dyDescent="0.25">
      <c r="A58" s="272"/>
      <c r="B58" s="367" t="s">
        <v>297</v>
      </c>
      <c r="C58" s="368">
        <v>2</v>
      </c>
      <c r="D58" s="370">
        <v>800</v>
      </c>
      <c r="E58" s="393">
        <f t="shared" si="2"/>
        <v>1600</v>
      </c>
    </row>
    <row r="59" spans="1:5" ht="15" customHeight="1" x14ac:dyDescent="0.25">
      <c r="A59" s="272"/>
      <c r="B59" s="367" t="s">
        <v>293</v>
      </c>
      <c r="C59" s="368">
        <v>5</v>
      </c>
      <c r="D59" s="370">
        <v>193</v>
      </c>
      <c r="E59" s="393">
        <f t="shared" si="2"/>
        <v>965</v>
      </c>
    </row>
    <row r="60" spans="1:5" ht="15" customHeight="1" x14ac:dyDescent="0.25">
      <c r="A60" s="272"/>
      <c r="B60" s="367" t="s">
        <v>293</v>
      </c>
      <c r="C60" s="368">
        <v>5</v>
      </c>
      <c r="D60" s="370">
        <v>185</v>
      </c>
      <c r="E60" s="393">
        <f t="shared" si="2"/>
        <v>925</v>
      </c>
    </row>
    <row r="61" spans="1:5" ht="15" customHeight="1" x14ac:dyDescent="0.25">
      <c r="A61" s="272"/>
      <c r="B61" s="367" t="s">
        <v>298</v>
      </c>
      <c r="C61" s="368">
        <v>6</v>
      </c>
      <c r="D61" s="370">
        <v>280</v>
      </c>
      <c r="E61" s="393">
        <f t="shared" si="2"/>
        <v>1680</v>
      </c>
    </row>
    <row r="62" spans="1:5" ht="15" customHeight="1" x14ac:dyDescent="0.25">
      <c r="A62" s="272"/>
      <c r="B62" s="367" t="s">
        <v>299</v>
      </c>
      <c r="C62" s="368">
        <v>5</v>
      </c>
      <c r="D62" s="370">
        <v>139</v>
      </c>
      <c r="E62" s="393">
        <f t="shared" si="2"/>
        <v>695</v>
      </c>
    </row>
    <row r="63" spans="1:5" ht="15" customHeight="1" x14ac:dyDescent="0.25">
      <c r="A63" s="272"/>
      <c r="B63" s="367" t="s">
        <v>300</v>
      </c>
      <c r="C63" s="368">
        <v>1</v>
      </c>
      <c r="D63" s="370">
        <v>190</v>
      </c>
      <c r="E63" s="393">
        <f t="shared" si="2"/>
        <v>190</v>
      </c>
    </row>
    <row r="64" spans="1:5" ht="15" customHeight="1" x14ac:dyDescent="0.25">
      <c r="A64" s="272"/>
      <c r="B64" s="367" t="s">
        <v>276</v>
      </c>
      <c r="C64" s="368">
        <v>1</v>
      </c>
      <c r="D64" s="370">
        <v>630</v>
      </c>
      <c r="E64" s="393">
        <f t="shared" si="2"/>
        <v>630</v>
      </c>
    </row>
    <row r="65" spans="1:5" ht="15" customHeight="1" x14ac:dyDescent="0.25">
      <c r="A65" s="272"/>
      <c r="B65" s="367" t="s">
        <v>301</v>
      </c>
      <c r="C65" s="368">
        <v>1</v>
      </c>
      <c r="D65" s="370">
        <v>3400</v>
      </c>
      <c r="E65" s="393">
        <f t="shared" si="2"/>
        <v>3400</v>
      </c>
    </row>
    <row r="66" spans="1:5" ht="15" customHeight="1" x14ac:dyDescent="0.25">
      <c r="A66" s="272"/>
      <c r="B66" s="367" t="s">
        <v>302</v>
      </c>
      <c r="C66" s="368">
        <v>3</v>
      </c>
      <c r="D66" s="370">
        <v>1135</v>
      </c>
      <c r="E66" s="393">
        <f t="shared" ref="E66:E129" si="3">C66*D66</f>
        <v>3405</v>
      </c>
    </row>
    <row r="67" spans="1:5" ht="15" customHeight="1" x14ac:dyDescent="0.25">
      <c r="A67" s="272"/>
      <c r="B67" s="367" t="s">
        <v>303</v>
      </c>
      <c r="C67" s="368">
        <v>4</v>
      </c>
      <c r="D67" s="370">
        <v>72.5</v>
      </c>
      <c r="E67" s="393">
        <f t="shared" si="3"/>
        <v>290</v>
      </c>
    </row>
    <row r="68" spans="1:5" ht="15" customHeight="1" x14ac:dyDescent="0.25">
      <c r="A68" s="272"/>
      <c r="B68" s="367" t="s">
        <v>304</v>
      </c>
      <c r="C68" s="368">
        <v>5</v>
      </c>
      <c r="D68" s="370">
        <v>115</v>
      </c>
      <c r="E68" s="393">
        <f t="shared" si="3"/>
        <v>575</v>
      </c>
    </row>
    <row r="69" spans="1:5" ht="15" customHeight="1" x14ac:dyDescent="0.25">
      <c r="A69" s="272"/>
      <c r="B69" s="367" t="s">
        <v>305</v>
      </c>
      <c r="C69" s="368">
        <v>5</v>
      </c>
      <c r="D69" s="370">
        <v>161</v>
      </c>
      <c r="E69" s="393">
        <f t="shared" si="3"/>
        <v>805</v>
      </c>
    </row>
    <row r="70" spans="1:5" ht="16.5" x14ac:dyDescent="0.25">
      <c r="A70" s="272"/>
      <c r="B70" s="367" t="s">
        <v>304</v>
      </c>
      <c r="C70" s="368">
        <v>11</v>
      </c>
      <c r="D70" s="370">
        <v>50</v>
      </c>
      <c r="E70" s="393">
        <f t="shared" si="3"/>
        <v>550</v>
      </c>
    </row>
    <row r="71" spans="1:5" ht="15" customHeight="1" x14ac:dyDescent="0.25">
      <c r="A71" s="272"/>
      <c r="B71" s="367" t="s">
        <v>306</v>
      </c>
      <c r="C71" s="368">
        <v>10</v>
      </c>
      <c r="D71" s="370">
        <v>109</v>
      </c>
      <c r="E71" s="393">
        <f t="shared" si="3"/>
        <v>1090</v>
      </c>
    </row>
    <row r="72" spans="1:5" ht="15" customHeight="1" x14ac:dyDescent="0.25">
      <c r="A72" s="272"/>
      <c r="B72" s="367" t="s">
        <v>307</v>
      </c>
      <c r="C72" s="368">
        <v>8</v>
      </c>
      <c r="D72" s="370">
        <v>50</v>
      </c>
      <c r="E72" s="393">
        <f t="shared" si="3"/>
        <v>400</v>
      </c>
    </row>
    <row r="73" spans="1:5" ht="15" customHeight="1" x14ac:dyDescent="0.25">
      <c r="A73" s="272"/>
      <c r="B73" s="367" t="s">
        <v>302</v>
      </c>
      <c r="C73" s="368">
        <v>1</v>
      </c>
      <c r="D73" s="370">
        <v>360</v>
      </c>
      <c r="E73" s="393">
        <f t="shared" si="3"/>
        <v>360</v>
      </c>
    </row>
    <row r="74" spans="1:5" ht="15" customHeight="1" x14ac:dyDescent="0.25">
      <c r="A74" s="272"/>
      <c r="B74" s="367" t="s">
        <v>308</v>
      </c>
      <c r="C74" s="368">
        <v>4</v>
      </c>
      <c r="D74" s="370">
        <v>20</v>
      </c>
      <c r="E74" s="393">
        <f t="shared" si="3"/>
        <v>80</v>
      </c>
    </row>
    <row r="75" spans="1:5" ht="15" customHeight="1" x14ac:dyDescent="0.25">
      <c r="A75" s="272"/>
      <c r="B75" s="366" t="s">
        <v>309</v>
      </c>
      <c r="C75" s="368">
        <v>1</v>
      </c>
      <c r="D75" s="370">
        <v>600</v>
      </c>
      <c r="E75" s="393">
        <f t="shared" si="3"/>
        <v>600</v>
      </c>
    </row>
    <row r="76" spans="1:5" ht="33" x14ac:dyDescent="0.25">
      <c r="A76" s="272"/>
      <c r="B76" s="366" t="s">
        <v>310</v>
      </c>
      <c r="C76" s="368">
        <v>1</v>
      </c>
      <c r="D76" s="370">
        <v>900</v>
      </c>
      <c r="E76" s="393">
        <f t="shared" si="3"/>
        <v>900</v>
      </c>
    </row>
    <row r="77" spans="1:5" ht="33" x14ac:dyDescent="0.25">
      <c r="A77" s="272"/>
      <c r="B77" s="366" t="s">
        <v>311</v>
      </c>
      <c r="C77" s="368">
        <v>3</v>
      </c>
      <c r="D77" s="370">
        <v>1400</v>
      </c>
      <c r="E77" s="393">
        <f t="shared" si="3"/>
        <v>4200</v>
      </c>
    </row>
    <row r="78" spans="1:5" ht="16.5" x14ac:dyDescent="0.25">
      <c r="A78" s="272"/>
      <c r="B78" s="366" t="s">
        <v>312</v>
      </c>
      <c r="C78" s="368">
        <v>6</v>
      </c>
      <c r="D78" s="370">
        <v>700</v>
      </c>
      <c r="E78" s="393">
        <f t="shared" si="3"/>
        <v>4200</v>
      </c>
    </row>
    <row r="79" spans="1:5" ht="33" x14ac:dyDescent="0.25">
      <c r="A79" s="272"/>
      <c r="B79" s="366" t="s">
        <v>313</v>
      </c>
      <c r="C79" s="368">
        <v>1</v>
      </c>
      <c r="D79" s="370">
        <v>700</v>
      </c>
      <c r="E79" s="393">
        <f t="shared" si="3"/>
        <v>700</v>
      </c>
    </row>
    <row r="80" spans="1:5" ht="16.5" x14ac:dyDescent="0.25">
      <c r="A80" s="272"/>
      <c r="B80" s="366" t="s">
        <v>314</v>
      </c>
      <c r="C80" s="368">
        <v>1</v>
      </c>
      <c r="D80" s="370">
        <v>1650</v>
      </c>
      <c r="E80" s="393">
        <f t="shared" si="3"/>
        <v>1650</v>
      </c>
    </row>
    <row r="81" spans="1:5" ht="16.5" x14ac:dyDescent="0.25">
      <c r="A81" s="272"/>
      <c r="B81" s="366" t="s">
        <v>315</v>
      </c>
      <c r="C81" s="368">
        <v>3</v>
      </c>
      <c r="D81" s="370">
        <v>1700</v>
      </c>
      <c r="E81" s="393">
        <f t="shared" si="3"/>
        <v>5100</v>
      </c>
    </row>
    <row r="82" spans="1:5" ht="16.5" x14ac:dyDescent="0.25">
      <c r="A82" s="272"/>
      <c r="B82" s="366" t="s">
        <v>316</v>
      </c>
      <c r="C82" s="368">
        <v>1</v>
      </c>
      <c r="D82" s="370">
        <v>340</v>
      </c>
      <c r="E82" s="393">
        <f t="shared" si="3"/>
        <v>340</v>
      </c>
    </row>
    <row r="83" spans="1:5" ht="16.5" x14ac:dyDescent="0.25">
      <c r="A83" s="272"/>
      <c r="B83" s="366" t="s">
        <v>317</v>
      </c>
      <c r="C83" s="368">
        <v>20</v>
      </c>
      <c r="D83" s="370">
        <v>10</v>
      </c>
      <c r="E83" s="393">
        <f t="shared" si="3"/>
        <v>200</v>
      </c>
    </row>
    <row r="84" spans="1:5" ht="16.5" x14ac:dyDescent="0.25">
      <c r="A84" s="272"/>
      <c r="B84" s="366" t="s">
        <v>318</v>
      </c>
      <c r="C84" s="368">
        <v>1</v>
      </c>
      <c r="D84" s="370">
        <v>160</v>
      </c>
      <c r="E84" s="393">
        <f t="shared" si="3"/>
        <v>160</v>
      </c>
    </row>
    <row r="85" spans="1:5" ht="16.5" x14ac:dyDescent="0.25">
      <c r="A85" s="272"/>
      <c r="B85" s="366" t="s">
        <v>319</v>
      </c>
      <c r="C85" s="368">
        <v>1</v>
      </c>
      <c r="D85" s="370">
        <v>70</v>
      </c>
      <c r="E85" s="393">
        <f t="shared" si="3"/>
        <v>70</v>
      </c>
    </row>
    <row r="86" spans="1:5" ht="16.5" x14ac:dyDescent="0.25">
      <c r="A86" s="272"/>
      <c r="B86" s="367" t="s">
        <v>320</v>
      </c>
      <c r="C86" s="368">
        <v>1</v>
      </c>
      <c r="D86" s="370">
        <v>110</v>
      </c>
      <c r="E86" s="393">
        <f t="shared" si="3"/>
        <v>110</v>
      </c>
    </row>
    <row r="87" spans="1:5" ht="16.5" x14ac:dyDescent="0.25">
      <c r="A87" s="272"/>
      <c r="B87" s="367" t="s">
        <v>321</v>
      </c>
      <c r="C87" s="368">
        <v>1</v>
      </c>
      <c r="D87" s="370">
        <v>35</v>
      </c>
      <c r="E87" s="393">
        <f t="shared" si="3"/>
        <v>35</v>
      </c>
    </row>
    <row r="88" spans="1:5" ht="16.5" x14ac:dyDescent="0.25">
      <c r="A88" s="272"/>
      <c r="B88" s="366" t="s">
        <v>322</v>
      </c>
      <c r="C88" s="368">
        <v>6</v>
      </c>
      <c r="D88" s="370">
        <v>840</v>
      </c>
      <c r="E88" s="393">
        <f t="shared" si="3"/>
        <v>5040</v>
      </c>
    </row>
    <row r="89" spans="1:5" ht="16.5" x14ac:dyDescent="0.25">
      <c r="A89" s="272"/>
      <c r="B89" s="366" t="s">
        <v>323</v>
      </c>
      <c r="C89" s="368">
        <v>50</v>
      </c>
      <c r="D89" s="370">
        <v>12</v>
      </c>
      <c r="E89" s="393">
        <f t="shared" si="3"/>
        <v>600</v>
      </c>
    </row>
    <row r="90" spans="1:5" ht="33" x14ac:dyDescent="0.25">
      <c r="A90" s="272"/>
      <c r="B90" s="367" t="s">
        <v>324</v>
      </c>
      <c r="C90" s="368">
        <v>1</v>
      </c>
      <c r="D90" s="370">
        <v>2100</v>
      </c>
      <c r="E90" s="393">
        <f t="shared" si="3"/>
        <v>2100</v>
      </c>
    </row>
    <row r="91" spans="1:5" ht="33" x14ac:dyDescent="0.25">
      <c r="A91" s="272"/>
      <c r="B91" s="367" t="s">
        <v>325</v>
      </c>
      <c r="C91" s="368">
        <v>1</v>
      </c>
      <c r="D91" s="370">
        <v>1800</v>
      </c>
      <c r="E91" s="393">
        <f t="shared" si="3"/>
        <v>1800</v>
      </c>
    </row>
    <row r="92" spans="1:5" ht="33" x14ac:dyDescent="0.25">
      <c r="A92" s="272"/>
      <c r="B92" s="367" t="s">
        <v>326</v>
      </c>
      <c r="C92" s="368">
        <v>1</v>
      </c>
      <c r="D92" s="370">
        <v>2800</v>
      </c>
      <c r="E92" s="393">
        <f t="shared" si="3"/>
        <v>2800</v>
      </c>
    </row>
    <row r="93" spans="1:5" ht="16.5" x14ac:dyDescent="0.25">
      <c r="A93" s="272"/>
      <c r="B93" s="367" t="s">
        <v>327</v>
      </c>
      <c r="C93" s="368">
        <v>3</v>
      </c>
      <c r="D93" s="370">
        <v>400</v>
      </c>
      <c r="E93" s="393">
        <f t="shared" si="3"/>
        <v>1200</v>
      </c>
    </row>
    <row r="94" spans="1:5" ht="33" x14ac:dyDescent="0.25">
      <c r="A94" s="272"/>
      <c r="B94" s="367" t="s">
        <v>328</v>
      </c>
      <c r="C94" s="368">
        <v>10</v>
      </c>
      <c r="D94" s="370">
        <v>100</v>
      </c>
      <c r="E94" s="393">
        <f t="shared" si="3"/>
        <v>1000</v>
      </c>
    </row>
    <row r="95" spans="1:5" ht="16.5" x14ac:dyDescent="0.25">
      <c r="A95" s="272"/>
      <c r="B95" s="367" t="s">
        <v>329</v>
      </c>
      <c r="C95" s="368">
        <v>2</v>
      </c>
      <c r="D95" s="370">
        <v>280</v>
      </c>
      <c r="E95" s="393">
        <f t="shared" si="3"/>
        <v>560</v>
      </c>
    </row>
    <row r="96" spans="1:5" ht="16.5" x14ac:dyDescent="0.25">
      <c r="A96" s="272"/>
      <c r="B96" s="367" t="s">
        <v>330</v>
      </c>
      <c r="C96" s="368">
        <v>50</v>
      </c>
      <c r="D96" s="370">
        <v>20</v>
      </c>
      <c r="E96" s="393">
        <f t="shared" si="3"/>
        <v>1000</v>
      </c>
    </row>
    <row r="97" spans="1:5" ht="16.5" x14ac:dyDescent="0.25">
      <c r="A97" s="272"/>
      <c r="B97" s="367" t="s">
        <v>331</v>
      </c>
      <c r="C97" s="368">
        <v>80</v>
      </c>
      <c r="D97" s="370">
        <v>5</v>
      </c>
      <c r="E97" s="393">
        <f t="shared" si="3"/>
        <v>400</v>
      </c>
    </row>
    <row r="98" spans="1:5" ht="16.5" x14ac:dyDescent="0.25">
      <c r="A98" s="272"/>
      <c r="B98" s="367" t="s">
        <v>332</v>
      </c>
      <c r="C98" s="368">
        <v>10</v>
      </c>
      <c r="D98" s="370">
        <v>120</v>
      </c>
      <c r="E98" s="393">
        <f t="shared" si="3"/>
        <v>1200</v>
      </c>
    </row>
    <row r="99" spans="1:5" ht="16.5" x14ac:dyDescent="0.25">
      <c r="A99" s="272"/>
      <c r="B99" s="367" t="s">
        <v>333</v>
      </c>
      <c r="C99" s="368">
        <v>5</v>
      </c>
      <c r="D99" s="370">
        <v>260</v>
      </c>
      <c r="E99" s="393">
        <f t="shared" si="3"/>
        <v>1300</v>
      </c>
    </row>
    <row r="100" spans="1:5" ht="33" x14ac:dyDescent="0.25">
      <c r="A100" s="272"/>
      <c r="B100" s="367" t="s">
        <v>334</v>
      </c>
      <c r="C100" s="368">
        <v>5</v>
      </c>
      <c r="D100" s="370">
        <v>300</v>
      </c>
      <c r="E100" s="393">
        <f t="shared" si="3"/>
        <v>1500</v>
      </c>
    </row>
    <row r="101" spans="1:5" ht="16.5" x14ac:dyDescent="0.25">
      <c r="A101" s="272"/>
      <c r="B101" s="367" t="s">
        <v>335</v>
      </c>
      <c r="C101" s="368">
        <v>5</v>
      </c>
      <c r="D101" s="370">
        <v>650</v>
      </c>
      <c r="E101" s="393">
        <f t="shared" si="3"/>
        <v>3250</v>
      </c>
    </row>
    <row r="102" spans="1:5" ht="16.5" x14ac:dyDescent="0.25">
      <c r="A102" s="272"/>
      <c r="B102" s="367" t="s">
        <v>336</v>
      </c>
      <c r="C102" s="368">
        <v>2</v>
      </c>
      <c r="D102" s="370">
        <v>240</v>
      </c>
      <c r="E102" s="393">
        <f t="shared" si="3"/>
        <v>480</v>
      </c>
    </row>
    <row r="103" spans="1:5" ht="16.5" x14ac:dyDescent="0.25">
      <c r="A103" s="272"/>
      <c r="B103" s="367" t="s">
        <v>337</v>
      </c>
      <c r="C103" s="368">
        <v>10</v>
      </c>
      <c r="D103" s="370">
        <v>60</v>
      </c>
      <c r="E103" s="393">
        <f t="shared" si="3"/>
        <v>600</v>
      </c>
    </row>
    <row r="104" spans="1:5" ht="16.5" x14ac:dyDescent="0.25">
      <c r="A104" s="272"/>
      <c r="B104" s="367" t="s">
        <v>338</v>
      </c>
      <c r="C104" s="368">
        <v>4</v>
      </c>
      <c r="D104" s="370">
        <v>95</v>
      </c>
      <c r="E104" s="393">
        <f t="shared" si="3"/>
        <v>380</v>
      </c>
    </row>
    <row r="105" spans="1:5" ht="16.5" x14ac:dyDescent="0.25">
      <c r="A105" s="272"/>
      <c r="B105" s="367" t="s">
        <v>339</v>
      </c>
      <c r="C105" s="368">
        <v>30</v>
      </c>
      <c r="D105" s="370">
        <v>50</v>
      </c>
      <c r="E105" s="393">
        <f t="shared" si="3"/>
        <v>1500</v>
      </c>
    </row>
    <row r="106" spans="1:5" ht="16.5" x14ac:dyDescent="0.25">
      <c r="A106" s="272"/>
      <c r="B106" s="367" t="s">
        <v>340</v>
      </c>
      <c r="C106" s="368">
        <v>10</v>
      </c>
      <c r="D106" s="370">
        <v>145</v>
      </c>
      <c r="E106" s="393">
        <f t="shared" si="3"/>
        <v>1450</v>
      </c>
    </row>
    <row r="107" spans="1:5" ht="66" x14ac:dyDescent="0.25">
      <c r="A107" s="272"/>
      <c r="B107" s="367" t="s">
        <v>341</v>
      </c>
      <c r="C107" s="368">
        <v>4</v>
      </c>
      <c r="D107" s="370">
        <v>1050</v>
      </c>
      <c r="E107" s="393">
        <f t="shared" si="3"/>
        <v>4200</v>
      </c>
    </row>
    <row r="108" spans="1:5" ht="66" x14ac:dyDescent="0.25">
      <c r="A108" s="272"/>
      <c r="B108" s="367" t="s">
        <v>342</v>
      </c>
      <c r="C108" s="368">
        <v>9</v>
      </c>
      <c r="D108" s="370">
        <v>950</v>
      </c>
      <c r="E108" s="393">
        <f t="shared" si="3"/>
        <v>8550</v>
      </c>
    </row>
    <row r="109" spans="1:5" ht="16.5" x14ac:dyDescent="0.25">
      <c r="A109" s="272"/>
      <c r="B109" s="367" t="s">
        <v>343</v>
      </c>
      <c r="C109" s="368">
        <v>1</v>
      </c>
      <c r="D109" s="370">
        <v>15960</v>
      </c>
      <c r="E109" s="393">
        <f t="shared" si="3"/>
        <v>15960</v>
      </c>
    </row>
    <row r="110" spans="1:5" ht="33" x14ac:dyDescent="0.25">
      <c r="A110" s="272"/>
      <c r="B110" s="367" t="s">
        <v>344</v>
      </c>
      <c r="C110" s="368">
        <v>2</v>
      </c>
      <c r="D110" s="370">
        <v>2300</v>
      </c>
      <c r="E110" s="393">
        <f t="shared" si="3"/>
        <v>4600</v>
      </c>
    </row>
    <row r="111" spans="1:5" ht="33" x14ac:dyDescent="0.25">
      <c r="A111" s="272"/>
      <c r="B111" s="367" t="s">
        <v>345</v>
      </c>
      <c r="C111" s="368">
        <v>1</v>
      </c>
      <c r="D111" s="370">
        <v>649</v>
      </c>
      <c r="E111" s="393">
        <f t="shared" si="3"/>
        <v>649</v>
      </c>
    </row>
    <row r="112" spans="1:5" ht="33" x14ac:dyDescent="0.25">
      <c r="A112" s="272"/>
      <c r="B112" s="367" t="s">
        <v>346</v>
      </c>
      <c r="C112" s="368">
        <v>1</v>
      </c>
      <c r="D112" s="370">
        <v>6242</v>
      </c>
      <c r="E112" s="393">
        <f t="shared" si="3"/>
        <v>6242</v>
      </c>
    </row>
    <row r="113" spans="1:5" ht="33" x14ac:dyDescent="0.25">
      <c r="A113" s="272"/>
      <c r="B113" s="367" t="s">
        <v>347</v>
      </c>
      <c r="C113" s="368">
        <v>2</v>
      </c>
      <c r="D113" s="370">
        <v>27</v>
      </c>
      <c r="E113" s="393">
        <f t="shared" si="3"/>
        <v>54</v>
      </c>
    </row>
    <row r="114" spans="1:5" ht="33" x14ac:dyDescent="0.25">
      <c r="A114" s="272"/>
      <c r="B114" s="367" t="s">
        <v>348</v>
      </c>
      <c r="C114" s="368">
        <v>2</v>
      </c>
      <c r="D114" s="370">
        <v>226</v>
      </c>
      <c r="E114" s="393">
        <f t="shared" si="3"/>
        <v>452</v>
      </c>
    </row>
    <row r="115" spans="1:5" ht="33" x14ac:dyDescent="0.25">
      <c r="A115" s="272"/>
      <c r="B115" s="367" t="s">
        <v>349</v>
      </c>
      <c r="C115" s="368">
        <v>1</v>
      </c>
      <c r="D115" s="370">
        <v>1050</v>
      </c>
      <c r="E115" s="393">
        <f t="shared" si="3"/>
        <v>1050</v>
      </c>
    </row>
    <row r="116" spans="1:5" ht="33" x14ac:dyDescent="0.25">
      <c r="A116" s="272"/>
      <c r="B116" s="367" t="s">
        <v>350</v>
      </c>
      <c r="C116" s="368">
        <v>1</v>
      </c>
      <c r="D116" s="370">
        <v>1037</v>
      </c>
      <c r="E116" s="393">
        <f t="shared" si="3"/>
        <v>1037</v>
      </c>
    </row>
    <row r="117" spans="1:5" ht="16.5" x14ac:dyDescent="0.25">
      <c r="A117" s="272"/>
      <c r="B117" s="367" t="s">
        <v>351</v>
      </c>
      <c r="C117" s="368">
        <v>1</v>
      </c>
      <c r="D117" s="370">
        <v>725</v>
      </c>
      <c r="E117" s="393">
        <f t="shared" si="3"/>
        <v>725</v>
      </c>
    </row>
    <row r="118" spans="1:5" ht="16.5" x14ac:dyDescent="0.25">
      <c r="A118" s="272"/>
      <c r="B118" s="367" t="s">
        <v>352</v>
      </c>
      <c r="C118" s="368">
        <v>5</v>
      </c>
      <c r="D118" s="370">
        <v>280</v>
      </c>
      <c r="E118" s="393">
        <f t="shared" si="3"/>
        <v>1400</v>
      </c>
    </row>
    <row r="119" spans="1:5" ht="16.5" x14ac:dyDescent="0.25">
      <c r="A119" s="272"/>
      <c r="B119" s="367" t="s">
        <v>353</v>
      </c>
      <c r="C119" s="368">
        <v>4</v>
      </c>
      <c r="D119" s="370">
        <v>145</v>
      </c>
      <c r="E119" s="393">
        <f t="shared" si="3"/>
        <v>580</v>
      </c>
    </row>
    <row r="120" spans="1:5" ht="49.5" x14ac:dyDescent="0.25">
      <c r="A120" s="272"/>
      <c r="B120" s="367" t="s">
        <v>354</v>
      </c>
      <c r="C120" s="368">
        <v>2</v>
      </c>
      <c r="D120" s="370">
        <v>250</v>
      </c>
      <c r="E120" s="393">
        <f t="shared" si="3"/>
        <v>500</v>
      </c>
    </row>
    <row r="121" spans="1:5" ht="33" x14ac:dyDescent="0.25">
      <c r="A121" s="272"/>
      <c r="B121" s="749" t="s">
        <v>564</v>
      </c>
      <c r="C121" s="753">
        <v>1</v>
      </c>
      <c r="D121" s="756">
        <v>180</v>
      </c>
      <c r="E121" s="393">
        <f t="shared" si="3"/>
        <v>180</v>
      </c>
    </row>
    <row r="122" spans="1:5" ht="16.5" x14ac:dyDescent="0.25">
      <c r="A122" s="272"/>
      <c r="B122" s="749" t="s">
        <v>284</v>
      </c>
      <c r="C122" s="753">
        <v>30</v>
      </c>
      <c r="D122" s="756">
        <v>10</v>
      </c>
      <c r="E122" s="393">
        <f t="shared" si="3"/>
        <v>300</v>
      </c>
    </row>
    <row r="123" spans="1:5" ht="16.5" x14ac:dyDescent="0.25">
      <c r="A123" s="272"/>
      <c r="B123" s="749" t="s">
        <v>565</v>
      </c>
      <c r="C123" s="753">
        <v>20</v>
      </c>
      <c r="D123" s="756">
        <v>20</v>
      </c>
      <c r="E123" s="393">
        <f t="shared" si="3"/>
        <v>400</v>
      </c>
    </row>
    <row r="124" spans="1:5" ht="90" x14ac:dyDescent="0.25">
      <c r="A124" s="272"/>
      <c r="B124" s="750" t="s">
        <v>566</v>
      </c>
      <c r="C124" s="754">
        <v>2</v>
      </c>
      <c r="D124" s="757">
        <v>225</v>
      </c>
      <c r="E124" s="393">
        <f t="shared" si="3"/>
        <v>450</v>
      </c>
    </row>
    <row r="125" spans="1:5" ht="105" x14ac:dyDescent="0.25">
      <c r="A125" s="272"/>
      <c r="B125" s="750" t="s">
        <v>567</v>
      </c>
      <c r="C125" s="754">
        <v>2</v>
      </c>
      <c r="D125" s="758">
        <v>110</v>
      </c>
      <c r="E125" s="393">
        <f t="shared" si="3"/>
        <v>220</v>
      </c>
    </row>
    <row r="126" spans="1:5" ht="105" x14ac:dyDescent="0.25">
      <c r="A126" s="272"/>
      <c r="B126" s="750" t="s">
        <v>568</v>
      </c>
      <c r="C126" s="754">
        <v>2</v>
      </c>
      <c r="D126" s="758">
        <v>110</v>
      </c>
      <c r="E126" s="393">
        <f t="shared" si="3"/>
        <v>220</v>
      </c>
    </row>
    <row r="127" spans="1:5" ht="60" x14ac:dyDescent="0.25">
      <c r="A127" s="272"/>
      <c r="B127" s="750" t="s">
        <v>569</v>
      </c>
      <c r="C127" s="754">
        <v>2</v>
      </c>
      <c r="D127" s="758">
        <v>260</v>
      </c>
      <c r="E127" s="393">
        <f t="shared" si="3"/>
        <v>520</v>
      </c>
    </row>
    <row r="128" spans="1:5" ht="75" x14ac:dyDescent="0.25">
      <c r="A128" s="272"/>
      <c r="B128" s="750" t="s">
        <v>570</v>
      </c>
      <c r="C128" s="754">
        <v>900</v>
      </c>
      <c r="D128" s="758">
        <v>1</v>
      </c>
      <c r="E128" s="393">
        <f t="shared" si="3"/>
        <v>900</v>
      </c>
    </row>
    <row r="129" spans="1:5" ht="75" x14ac:dyDescent="0.25">
      <c r="A129" s="272"/>
      <c r="B129" s="750" t="s">
        <v>571</v>
      </c>
      <c r="C129" s="754">
        <v>230</v>
      </c>
      <c r="D129" s="758">
        <v>4</v>
      </c>
      <c r="E129" s="393">
        <f t="shared" si="3"/>
        <v>920</v>
      </c>
    </row>
    <row r="130" spans="1:5" ht="75" x14ac:dyDescent="0.25">
      <c r="A130" s="272"/>
      <c r="B130" s="750" t="s">
        <v>572</v>
      </c>
      <c r="C130" s="754">
        <v>8</v>
      </c>
      <c r="D130" s="758">
        <v>35</v>
      </c>
      <c r="E130" s="393">
        <f t="shared" ref="E130:E159" si="4">C130*D130</f>
        <v>280</v>
      </c>
    </row>
    <row r="131" spans="1:5" ht="75" x14ac:dyDescent="0.25">
      <c r="A131" s="272"/>
      <c r="B131" s="750" t="s">
        <v>573</v>
      </c>
      <c r="C131" s="754">
        <v>14</v>
      </c>
      <c r="D131" s="758">
        <v>20</v>
      </c>
      <c r="E131" s="393">
        <f t="shared" si="4"/>
        <v>280</v>
      </c>
    </row>
    <row r="132" spans="1:5" ht="75" x14ac:dyDescent="0.25">
      <c r="A132" s="272"/>
      <c r="B132" s="750" t="s">
        <v>574</v>
      </c>
      <c r="C132" s="754">
        <v>20</v>
      </c>
      <c r="D132" s="758">
        <v>20</v>
      </c>
      <c r="E132" s="393">
        <f t="shared" si="4"/>
        <v>400</v>
      </c>
    </row>
    <row r="133" spans="1:5" ht="60" x14ac:dyDescent="0.25">
      <c r="A133" s="272"/>
      <c r="B133" s="750" t="s">
        <v>575</v>
      </c>
      <c r="C133" s="754">
        <v>10</v>
      </c>
      <c r="D133" s="758">
        <v>35</v>
      </c>
      <c r="E133" s="393">
        <f t="shared" si="4"/>
        <v>350</v>
      </c>
    </row>
    <row r="134" spans="1:5" ht="45" x14ac:dyDescent="0.25">
      <c r="A134" s="272"/>
      <c r="B134" s="750" t="s">
        <v>576</v>
      </c>
      <c r="C134" s="754">
        <v>2</v>
      </c>
      <c r="D134" s="758">
        <v>21</v>
      </c>
      <c r="E134" s="393">
        <f t="shared" si="4"/>
        <v>42</v>
      </c>
    </row>
    <row r="135" spans="1:5" ht="45" x14ac:dyDescent="0.25">
      <c r="A135" s="272"/>
      <c r="B135" s="750" t="s">
        <v>577</v>
      </c>
      <c r="C135" s="754">
        <v>4</v>
      </c>
      <c r="D135" s="758">
        <v>21</v>
      </c>
      <c r="E135" s="393">
        <f t="shared" si="4"/>
        <v>84</v>
      </c>
    </row>
    <row r="136" spans="1:5" ht="45" x14ac:dyDescent="0.25">
      <c r="A136" s="272"/>
      <c r="B136" s="750" t="s">
        <v>578</v>
      </c>
      <c r="C136" s="754">
        <v>1</v>
      </c>
      <c r="D136" s="758">
        <v>65</v>
      </c>
      <c r="E136" s="393">
        <f t="shared" si="4"/>
        <v>65</v>
      </c>
    </row>
    <row r="137" spans="1:5" ht="45" x14ac:dyDescent="0.25">
      <c r="A137" s="272"/>
      <c r="B137" s="750" t="s">
        <v>579</v>
      </c>
      <c r="C137" s="754">
        <v>1</v>
      </c>
      <c r="D137" s="758">
        <v>150</v>
      </c>
      <c r="E137" s="393">
        <f t="shared" si="4"/>
        <v>150</v>
      </c>
    </row>
    <row r="138" spans="1:5" ht="45" x14ac:dyDescent="0.25">
      <c r="A138" s="272"/>
      <c r="B138" s="750" t="s">
        <v>580</v>
      </c>
      <c r="C138" s="754">
        <v>1</v>
      </c>
      <c r="D138" s="758">
        <v>580</v>
      </c>
      <c r="E138" s="393">
        <f t="shared" si="4"/>
        <v>580</v>
      </c>
    </row>
    <row r="139" spans="1:5" ht="60" x14ac:dyDescent="0.25">
      <c r="A139" s="272"/>
      <c r="B139" s="750" t="s">
        <v>581</v>
      </c>
      <c r="C139" s="754">
        <v>1</v>
      </c>
      <c r="D139" s="758">
        <v>300</v>
      </c>
      <c r="E139" s="393">
        <f t="shared" si="4"/>
        <v>300</v>
      </c>
    </row>
    <row r="140" spans="1:5" ht="45" x14ac:dyDescent="0.25">
      <c r="A140" s="272"/>
      <c r="B140" s="750" t="s">
        <v>582</v>
      </c>
      <c r="C140" s="754">
        <v>8</v>
      </c>
      <c r="D140" s="758">
        <v>23</v>
      </c>
      <c r="E140" s="393">
        <f t="shared" si="4"/>
        <v>184</v>
      </c>
    </row>
    <row r="141" spans="1:5" ht="90" x14ac:dyDescent="0.25">
      <c r="A141" s="272"/>
      <c r="B141" s="750" t="s">
        <v>583</v>
      </c>
      <c r="C141" s="754">
        <v>3</v>
      </c>
      <c r="D141" s="758">
        <v>272</v>
      </c>
      <c r="E141" s="393">
        <f t="shared" si="4"/>
        <v>816</v>
      </c>
    </row>
    <row r="142" spans="1:5" ht="60" x14ac:dyDescent="0.25">
      <c r="A142" s="272"/>
      <c r="B142" s="750" t="s">
        <v>584</v>
      </c>
      <c r="C142" s="754">
        <v>1</v>
      </c>
      <c r="D142" s="758">
        <v>650</v>
      </c>
      <c r="E142" s="393">
        <f t="shared" si="4"/>
        <v>650</v>
      </c>
    </row>
    <row r="143" spans="1:5" ht="45" x14ac:dyDescent="0.25">
      <c r="A143" s="272"/>
      <c r="B143" s="750" t="s">
        <v>585</v>
      </c>
      <c r="C143" s="754">
        <v>5</v>
      </c>
      <c r="D143" s="758">
        <v>55</v>
      </c>
      <c r="E143" s="393">
        <f t="shared" si="4"/>
        <v>275</v>
      </c>
    </row>
    <row r="144" spans="1:5" ht="30" x14ac:dyDescent="0.25">
      <c r="A144" s="272"/>
      <c r="B144" s="750" t="s">
        <v>586</v>
      </c>
      <c r="C144" s="754">
        <v>2</v>
      </c>
      <c r="D144" s="758">
        <v>120</v>
      </c>
      <c r="E144" s="393">
        <f t="shared" si="4"/>
        <v>240</v>
      </c>
    </row>
    <row r="145" spans="1:5" ht="60" x14ac:dyDescent="0.25">
      <c r="A145" s="272"/>
      <c r="B145" s="750" t="s">
        <v>587</v>
      </c>
      <c r="C145" s="754">
        <v>5</v>
      </c>
      <c r="D145" s="758">
        <v>69</v>
      </c>
      <c r="E145" s="393">
        <f t="shared" si="4"/>
        <v>345</v>
      </c>
    </row>
    <row r="146" spans="1:5" ht="45" x14ac:dyDescent="0.25">
      <c r="A146" s="272"/>
      <c r="B146" s="750" t="s">
        <v>588</v>
      </c>
      <c r="C146" s="754">
        <v>1</v>
      </c>
      <c r="D146" s="758">
        <v>180</v>
      </c>
      <c r="E146" s="393">
        <f t="shared" si="4"/>
        <v>180</v>
      </c>
    </row>
    <row r="147" spans="1:5" ht="60" x14ac:dyDescent="0.25">
      <c r="A147" s="272"/>
      <c r="B147" s="750" t="s">
        <v>589</v>
      </c>
      <c r="C147" s="754">
        <v>1</v>
      </c>
      <c r="D147" s="758">
        <v>62</v>
      </c>
      <c r="E147" s="393">
        <f t="shared" si="4"/>
        <v>62</v>
      </c>
    </row>
    <row r="148" spans="1:5" ht="75" x14ac:dyDescent="0.25">
      <c r="A148" s="272"/>
      <c r="B148" s="750" t="s">
        <v>590</v>
      </c>
      <c r="C148" s="754">
        <v>1</v>
      </c>
      <c r="D148" s="758">
        <v>42</v>
      </c>
      <c r="E148" s="393">
        <f t="shared" si="4"/>
        <v>42</v>
      </c>
    </row>
    <row r="149" spans="1:5" ht="60" x14ac:dyDescent="0.25">
      <c r="A149" s="272"/>
      <c r="B149" s="750" t="s">
        <v>591</v>
      </c>
      <c r="C149" s="754">
        <v>1</v>
      </c>
      <c r="D149" s="758">
        <v>223</v>
      </c>
      <c r="E149" s="393">
        <f t="shared" si="4"/>
        <v>223</v>
      </c>
    </row>
    <row r="150" spans="1:5" ht="75" x14ac:dyDescent="0.25">
      <c r="A150" s="272"/>
      <c r="B150" s="750" t="s">
        <v>592</v>
      </c>
      <c r="C150" s="754">
        <v>1.2</v>
      </c>
      <c r="D150" s="758">
        <v>467</v>
      </c>
      <c r="E150" s="393">
        <f t="shared" si="4"/>
        <v>560.4</v>
      </c>
    </row>
    <row r="151" spans="1:5" ht="16.5" x14ac:dyDescent="0.25">
      <c r="A151" s="272"/>
      <c r="B151" s="751" t="s">
        <v>355</v>
      </c>
      <c r="C151" s="755">
        <v>2</v>
      </c>
      <c r="D151" s="759">
        <v>630</v>
      </c>
      <c r="E151" s="393">
        <f t="shared" si="4"/>
        <v>1260</v>
      </c>
    </row>
    <row r="152" spans="1:5" ht="49.5" x14ac:dyDescent="0.25">
      <c r="A152" s="272"/>
      <c r="B152" s="367" t="s">
        <v>257</v>
      </c>
      <c r="C152" s="368">
        <v>8</v>
      </c>
      <c r="D152" s="370">
        <v>2963.25</v>
      </c>
      <c r="E152" s="393">
        <f t="shared" si="4"/>
        <v>23706</v>
      </c>
    </row>
    <row r="153" spans="1:5" ht="16.5" x14ac:dyDescent="0.25">
      <c r="A153" s="272"/>
      <c r="B153" s="749" t="s">
        <v>260</v>
      </c>
      <c r="C153" s="753">
        <v>3000</v>
      </c>
      <c r="D153" s="756">
        <v>48.77</v>
      </c>
      <c r="E153" s="393">
        <f t="shared" si="4"/>
        <v>146310</v>
      </c>
    </row>
    <row r="154" spans="1:5" ht="33" x14ac:dyDescent="0.25">
      <c r="A154" s="272"/>
      <c r="B154" s="749" t="s">
        <v>593</v>
      </c>
      <c r="C154" s="753">
        <v>800</v>
      </c>
      <c r="D154" s="756">
        <v>40</v>
      </c>
      <c r="E154" s="393">
        <f t="shared" si="4"/>
        <v>32000</v>
      </c>
    </row>
    <row r="155" spans="1:5" ht="33" x14ac:dyDescent="0.25">
      <c r="A155" s="272"/>
      <c r="B155" s="749" t="s">
        <v>594</v>
      </c>
      <c r="C155" s="753">
        <v>800</v>
      </c>
      <c r="D155" s="756">
        <v>40</v>
      </c>
      <c r="E155" s="393">
        <f t="shared" si="4"/>
        <v>32000</v>
      </c>
    </row>
    <row r="156" spans="1:5" ht="33" x14ac:dyDescent="0.25">
      <c r="A156" s="272"/>
      <c r="B156" s="749" t="s">
        <v>595</v>
      </c>
      <c r="C156" s="753">
        <v>1000</v>
      </c>
      <c r="D156" s="756">
        <v>20</v>
      </c>
      <c r="E156" s="393">
        <f t="shared" si="4"/>
        <v>20000</v>
      </c>
    </row>
    <row r="157" spans="1:5" ht="49.5" x14ac:dyDescent="0.25">
      <c r="A157" s="272"/>
      <c r="B157" s="749" t="s">
        <v>596</v>
      </c>
      <c r="C157" s="753">
        <v>1</v>
      </c>
      <c r="D157" s="756">
        <v>1077.5999999999999</v>
      </c>
      <c r="E157" s="393">
        <f t="shared" si="4"/>
        <v>1077.5999999999999</v>
      </c>
    </row>
    <row r="158" spans="1:5" ht="16.5" x14ac:dyDescent="0.25">
      <c r="A158" s="272"/>
      <c r="B158" s="749" t="s">
        <v>597</v>
      </c>
      <c r="C158" s="753">
        <v>10</v>
      </c>
      <c r="D158" s="756">
        <v>1200</v>
      </c>
      <c r="E158" s="393">
        <f t="shared" si="4"/>
        <v>12000</v>
      </c>
    </row>
    <row r="159" spans="1:5" ht="33" x14ac:dyDescent="0.25">
      <c r="A159" s="272"/>
      <c r="B159" s="752" t="s">
        <v>598</v>
      </c>
      <c r="C159" s="368">
        <v>4</v>
      </c>
      <c r="D159" s="370">
        <v>500</v>
      </c>
      <c r="E159" s="393">
        <f t="shared" si="4"/>
        <v>2000</v>
      </c>
    </row>
    <row r="160" spans="1:5" ht="15.75" x14ac:dyDescent="0.25">
      <c r="A160" s="272"/>
      <c r="B160" s="388"/>
      <c r="C160" s="255"/>
      <c r="D160" s="255"/>
      <c r="E160" s="253"/>
    </row>
    <row r="161" spans="1:5" ht="15.75" x14ac:dyDescent="0.25">
      <c r="A161" s="272"/>
      <c r="B161" s="388"/>
      <c r="C161" s="255"/>
      <c r="D161" s="255"/>
      <c r="E161" s="253"/>
    </row>
    <row r="162" spans="1:5" ht="15.75" x14ac:dyDescent="0.25">
      <c r="A162" s="272"/>
      <c r="B162" s="388"/>
      <c r="C162" s="255"/>
      <c r="D162" s="255"/>
      <c r="E162" s="253"/>
    </row>
    <row r="163" spans="1:5" ht="15.75" x14ac:dyDescent="0.25">
      <c r="A163" s="272"/>
      <c r="B163" s="388"/>
      <c r="C163" s="255"/>
      <c r="D163" s="255"/>
      <c r="E163" s="253"/>
    </row>
    <row r="164" spans="1:5" ht="15.75" x14ac:dyDescent="0.25">
      <c r="A164" s="272"/>
      <c r="B164" s="388"/>
      <c r="C164" s="255"/>
      <c r="D164" s="255"/>
      <c r="E164" s="389"/>
    </row>
    <row r="165" spans="1:5" ht="15.75" x14ac:dyDescent="0.25">
      <c r="A165" s="272"/>
      <c r="B165" s="388"/>
      <c r="C165" s="255"/>
      <c r="D165" s="255"/>
      <c r="E165" s="389"/>
    </row>
    <row r="166" spans="1:5" ht="15.75" x14ac:dyDescent="0.25">
      <c r="A166" s="272"/>
      <c r="B166" s="388"/>
      <c r="C166" s="255"/>
      <c r="D166" s="255"/>
      <c r="E166" s="389"/>
    </row>
    <row r="167" spans="1:5" ht="15.75" x14ac:dyDescent="0.25">
      <c r="A167" s="272"/>
      <c r="B167" s="388"/>
      <c r="C167" s="255"/>
      <c r="D167" s="255"/>
      <c r="E167" s="389"/>
    </row>
    <row r="168" spans="1:5" ht="15.75" x14ac:dyDescent="0.25">
      <c r="A168" s="272"/>
      <c r="B168" s="388"/>
      <c r="C168" s="255"/>
      <c r="D168" s="255"/>
      <c r="E168" s="389"/>
    </row>
    <row r="169" spans="1:5" ht="15.75" x14ac:dyDescent="0.25">
      <c r="A169" s="272"/>
      <c r="B169" s="388"/>
      <c r="C169" s="255"/>
      <c r="D169" s="255"/>
      <c r="E169" s="389"/>
    </row>
    <row r="170" spans="1:5" ht="15.75" x14ac:dyDescent="0.25">
      <c r="A170" s="272"/>
      <c r="B170" s="390"/>
      <c r="C170" s="255"/>
      <c r="D170" s="255"/>
      <c r="E170" s="389"/>
    </row>
    <row r="171" spans="1:5" ht="15.75" x14ac:dyDescent="0.25">
      <c r="A171" s="272"/>
      <c r="B171" s="273"/>
      <c r="C171" s="255"/>
      <c r="D171" s="255"/>
      <c r="E171" s="389"/>
    </row>
    <row r="172" spans="1:5" ht="15.75" x14ac:dyDescent="0.25">
      <c r="A172" s="272"/>
      <c r="B172" s="388"/>
      <c r="C172" s="255"/>
      <c r="D172" s="255"/>
      <c r="E172" s="389"/>
    </row>
    <row r="173" spans="1:5" ht="15.75" x14ac:dyDescent="0.25">
      <c r="A173" s="272"/>
      <c r="B173" s="388"/>
      <c r="C173" s="255"/>
      <c r="D173" s="255"/>
      <c r="E173" s="389"/>
    </row>
    <row r="174" spans="1:5" ht="15.75" x14ac:dyDescent="0.25">
      <c r="A174" s="272"/>
      <c r="B174" s="388"/>
      <c r="C174" s="255"/>
      <c r="D174" s="255"/>
      <c r="E174" s="389"/>
    </row>
    <row r="175" spans="1:5" ht="15.75" x14ac:dyDescent="0.25">
      <c r="A175" s="272"/>
      <c r="B175" s="388"/>
      <c r="C175" s="255"/>
      <c r="D175" s="255"/>
      <c r="E175" s="389"/>
    </row>
    <row r="176" spans="1:5" ht="15.75" x14ac:dyDescent="0.25">
      <c r="A176" s="272"/>
      <c r="B176" s="388"/>
      <c r="C176" s="255"/>
      <c r="D176" s="255"/>
      <c r="E176" s="389"/>
    </row>
    <row r="177" spans="1:5" ht="15.75" x14ac:dyDescent="0.25">
      <c r="A177" s="272"/>
      <c r="B177" s="388"/>
      <c r="C177" s="255"/>
      <c r="D177" s="255"/>
      <c r="E177" s="389"/>
    </row>
    <row r="178" spans="1:5" ht="15.75" x14ac:dyDescent="0.25">
      <c r="A178" s="272"/>
      <c r="B178" s="388"/>
      <c r="C178" s="255"/>
      <c r="D178" s="255"/>
      <c r="E178" s="389"/>
    </row>
    <row r="179" spans="1:5" ht="15.75" x14ac:dyDescent="0.25">
      <c r="A179" s="272"/>
      <c r="B179" s="388"/>
      <c r="C179" s="255"/>
      <c r="D179" s="255"/>
      <c r="E179" s="389"/>
    </row>
    <row r="180" spans="1:5" ht="15.75" x14ac:dyDescent="0.25">
      <c r="A180" s="272"/>
      <c r="B180" s="388"/>
      <c r="C180" s="255"/>
      <c r="D180" s="255"/>
      <c r="E180" s="389"/>
    </row>
    <row r="181" spans="1:5" ht="15.75" x14ac:dyDescent="0.25">
      <c r="A181" s="272"/>
      <c r="B181" s="388"/>
      <c r="C181" s="255"/>
      <c r="D181" s="255"/>
      <c r="E181" s="389"/>
    </row>
    <row r="182" spans="1:5" ht="15.75" x14ac:dyDescent="0.25">
      <c r="A182" s="272"/>
      <c r="B182" s="388"/>
      <c r="C182" s="255"/>
      <c r="D182" s="255"/>
      <c r="E182" s="389"/>
    </row>
    <row r="183" spans="1:5" ht="15.75" x14ac:dyDescent="0.25">
      <c r="A183" s="272"/>
      <c r="B183" s="388"/>
      <c r="C183" s="255"/>
      <c r="D183" s="255"/>
      <c r="E183" s="389"/>
    </row>
    <row r="184" spans="1:5" ht="15.75" x14ac:dyDescent="0.25">
      <c r="A184" s="272"/>
      <c r="B184" s="388"/>
      <c r="C184" s="255"/>
      <c r="D184" s="255"/>
      <c r="E184" s="391"/>
    </row>
    <row r="185" spans="1:5" ht="15.75" x14ac:dyDescent="0.25">
      <c r="A185" s="272"/>
      <c r="B185" s="390"/>
      <c r="C185" s="255"/>
      <c r="D185" s="255"/>
      <c r="E185" s="391"/>
    </row>
    <row r="186" spans="1:5" ht="15.75" x14ac:dyDescent="0.25">
      <c r="A186" s="272"/>
      <c r="B186" s="390"/>
      <c r="C186" s="255"/>
      <c r="D186" s="255"/>
      <c r="E186" s="39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263"/>
  <sheetViews>
    <sheetView workbookViewId="0">
      <selection activeCell="E263" sqref="A1:E26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49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30.11.2020 "87-ос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9"/>
    </row>
    <row r="3" spans="1:5" x14ac:dyDescent="0.25">
      <c r="A3" s="650" t="s">
        <v>130</v>
      </c>
      <c r="B3" s="650"/>
      <c r="C3" s="650"/>
      <c r="D3" s="650"/>
      <c r="E3" s="650"/>
    </row>
    <row r="4" spans="1:5" ht="13.5" customHeight="1" x14ac:dyDescent="0.25">
      <c r="A4" s="651" t="s">
        <v>154</v>
      </c>
      <c r="B4" s="651"/>
      <c r="C4" s="651"/>
      <c r="D4" s="651"/>
      <c r="E4" s="651"/>
    </row>
    <row r="5" spans="1:5" ht="60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60" t="s">
        <v>156</v>
      </c>
      <c r="B7" s="658" t="s">
        <v>157</v>
      </c>
      <c r="C7" s="652" t="s">
        <v>136</v>
      </c>
      <c r="D7" s="653"/>
      <c r="E7" s="654"/>
    </row>
    <row r="8" spans="1:5" ht="14.45" customHeight="1" x14ac:dyDescent="0.25">
      <c r="A8" s="661"/>
      <c r="B8" s="659"/>
      <c r="C8" s="655" t="s">
        <v>137</v>
      </c>
      <c r="D8" s="656"/>
      <c r="E8" s="657"/>
    </row>
    <row r="9" spans="1:5" ht="12" customHeight="1" x14ac:dyDescent="0.25">
      <c r="A9" s="661"/>
      <c r="B9" s="659"/>
      <c r="C9" s="109" t="s">
        <v>144</v>
      </c>
      <c r="D9" s="134" t="s">
        <v>138</v>
      </c>
      <c r="E9" s="232">
        <f>'патриотика0,31'!D25</f>
        <v>1.736</v>
      </c>
    </row>
    <row r="10" spans="1:5" ht="12" customHeight="1" x14ac:dyDescent="0.25">
      <c r="A10" s="661"/>
      <c r="B10" s="659"/>
      <c r="C10" s="109" t="s">
        <v>97</v>
      </c>
      <c r="D10" s="135" t="s">
        <v>138</v>
      </c>
      <c r="E10" s="232">
        <f>'патриотика0,31'!D24</f>
        <v>0.31</v>
      </c>
    </row>
    <row r="11" spans="1:5" ht="12" customHeight="1" x14ac:dyDescent="0.25">
      <c r="A11" s="661"/>
      <c r="B11" s="659"/>
      <c r="C11" s="643" t="s">
        <v>148</v>
      </c>
      <c r="D11" s="644"/>
      <c r="E11" s="645"/>
    </row>
    <row r="12" spans="1:5" ht="40.15" customHeight="1" x14ac:dyDescent="0.25">
      <c r="A12" s="661"/>
      <c r="B12" s="659"/>
      <c r="C12" s="121" t="s">
        <v>202</v>
      </c>
      <c r="D12" s="101" t="s">
        <v>39</v>
      </c>
      <c r="E12" s="231">
        <f>'патриотика0,31'!E54</f>
        <v>0.31</v>
      </c>
    </row>
    <row r="13" spans="1:5" ht="25.5" customHeight="1" x14ac:dyDescent="0.25">
      <c r="A13" s="661"/>
      <c r="B13" s="659"/>
      <c r="C13" s="121" t="s">
        <v>203</v>
      </c>
      <c r="D13" s="101" t="s">
        <v>39</v>
      </c>
      <c r="E13" s="231">
        <f>'патриотика0,31'!E55</f>
        <v>0.31</v>
      </c>
    </row>
    <row r="14" spans="1:5" ht="22.9" customHeight="1" x14ac:dyDescent="0.25">
      <c r="A14" s="661"/>
      <c r="B14" s="659"/>
      <c r="C14" s="121" t="s">
        <v>204</v>
      </c>
      <c r="D14" s="101" t="s">
        <v>39</v>
      </c>
      <c r="E14" s="231">
        <f>'патриотика0,31'!E56</f>
        <v>0.31</v>
      </c>
    </row>
    <row r="15" spans="1:5" ht="27" customHeight="1" x14ac:dyDescent="0.25">
      <c r="A15" s="661"/>
      <c r="B15" s="659"/>
      <c r="C15" s="646" t="s">
        <v>149</v>
      </c>
      <c r="D15" s="647"/>
      <c r="E15" s="648"/>
    </row>
    <row r="16" spans="1:5" ht="30" hidden="1" customHeight="1" x14ac:dyDescent="0.25">
      <c r="A16" s="661"/>
      <c r="B16" s="659"/>
      <c r="C16" s="131" t="e">
        <f>'патриотика0,31'!#REF!</f>
        <v>#REF!</v>
      </c>
      <c r="D16" s="101"/>
      <c r="E16" s="91"/>
    </row>
    <row r="17" spans="1:5" ht="12" hidden="1" customHeight="1" x14ac:dyDescent="0.25">
      <c r="A17" s="661"/>
      <c r="B17" s="659"/>
      <c r="C17" s="131" t="e">
        <f>'патриотика0,31'!#REF!</f>
        <v>#REF!</v>
      </c>
      <c r="D17" s="214" t="s">
        <v>88</v>
      </c>
      <c r="E17" s="91" t="e">
        <f>'патриотика0,31'!#REF!</f>
        <v>#REF!</v>
      </c>
    </row>
    <row r="18" spans="1:5" ht="12" hidden="1" customHeight="1" x14ac:dyDescent="0.25">
      <c r="A18" s="661"/>
      <c r="B18" s="659"/>
      <c r="C18" s="131" t="e">
        <f>'патриотика0,31'!#REF!</f>
        <v>#REF!</v>
      </c>
      <c r="D18" s="242" t="s">
        <v>88</v>
      </c>
      <c r="E18" s="91" t="e">
        <f>'патриотика0,31'!#REF!</f>
        <v>#REF!</v>
      </c>
    </row>
    <row r="19" spans="1:5" ht="12" hidden="1" customHeight="1" x14ac:dyDescent="0.25">
      <c r="A19" s="661"/>
      <c r="B19" s="659"/>
      <c r="C19" s="131" t="e">
        <f>'патриотика0,31'!#REF!</f>
        <v>#REF!</v>
      </c>
      <c r="D19" s="242" t="s">
        <v>88</v>
      </c>
      <c r="E19" s="91" t="e">
        <f>'патриотика0,31'!#REF!</f>
        <v>#REF!</v>
      </c>
    </row>
    <row r="20" spans="1:5" ht="12" hidden="1" customHeight="1" x14ac:dyDescent="0.25">
      <c r="A20" s="661"/>
      <c r="B20" s="659"/>
      <c r="C20" s="131" t="e">
        <f>'патриотика0,31'!#REF!</f>
        <v>#REF!</v>
      </c>
      <c r="D20" s="242" t="s">
        <v>88</v>
      </c>
      <c r="E20" s="91" t="e">
        <f>'патриотика0,31'!#REF!</f>
        <v>#REF!</v>
      </c>
    </row>
    <row r="21" spans="1:5" ht="12" hidden="1" customHeight="1" x14ac:dyDescent="0.25">
      <c r="A21" s="661"/>
      <c r="B21" s="659"/>
      <c r="C21" s="131" t="e">
        <f>'патриотика0,31'!#REF!</f>
        <v>#REF!</v>
      </c>
      <c r="D21" s="242" t="s">
        <v>88</v>
      </c>
      <c r="E21" s="91" t="e">
        <f>'патриотика0,31'!#REF!</f>
        <v>#REF!</v>
      </c>
    </row>
    <row r="22" spans="1:5" ht="12" hidden="1" customHeight="1" x14ac:dyDescent="0.25">
      <c r="A22" s="661"/>
      <c r="B22" s="659"/>
      <c r="C22" s="131" t="e">
        <f>'патриотика0,31'!#REF!</f>
        <v>#REF!</v>
      </c>
      <c r="D22" s="242" t="s">
        <v>88</v>
      </c>
      <c r="E22" s="91" t="e">
        <f>'патриотика0,31'!#REF!</f>
        <v>#REF!</v>
      </c>
    </row>
    <row r="23" spans="1:5" ht="12" hidden="1" customHeight="1" x14ac:dyDescent="0.25">
      <c r="A23" s="661"/>
      <c r="B23" s="659"/>
      <c r="C23" s="131" t="e">
        <f>'патриотика0,31'!#REF!</f>
        <v>#REF!</v>
      </c>
      <c r="D23" s="242" t="s">
        <v>88</v>
      </c>
      <c r="E23" s="91" t="e">
        <f>'патриотика0,31'!#REF!</f>
        <v>#REF!</v>
      </c>
    </row>
    <row r="24" spans="1:5" ht="12" hidden="1" customHeight="1" x14ac:dyDescent="0.25">
      <c r="A24" s="661"/>
      <c r="B24" s="659"/>
      <c r="C24" s="131" t="e">
        <f>'патриотика0,31'!#REF!</f>
        <v>#REF!</v>
      </c>
      <c r="D24" s="242" t="s">
        <v>88</v>
      </c>
      <c r="E24" s="91" t="e">
        <f>'патриотика0,31'!#REF!</f>
        <v>#REF!</v>
      </c>
    </row>
    <row r="25" spans="1:5" ht="12" hidden="1" customHeight="1" x14ac:dyDescent="0.25">
      <c r="A25" s="661"/>
      <c r="B25" s="659"/>
      <c r="C25" s="131" t="e">
        <f>'патриотика0,31'!#REF!</f>
        <v>#REF!</v>
      </c>
      <c r="D25" s="242" t="s">
        <v>88</v>
      </c>
      <c r="E25" s="91" t="e">
        <f>'патриотика0,31'!#REF!</f>
        <v>#REF!</v>
      </c>
    </row>
    <row r="26" spans="1:5" ht="12" hidden="1" customHeight="1" x14ac:dyDescent="0.25">
      <c r="A26" s="661"/>
      <c r="B26" s="659"/>
      <c r="C26" s="131" t="e">
        <f>'патриотика0,31'!#REF!</f>
        <v>#REF!</v>
      </c>
      <c r="D26" s="242" t="s">
        <v>88</v>
      </c>
      <c r="E26" s="91" t="e">
        <f>'патриотика0,31'!#REF!</f>
        <v>#REF!</v>
      </c>
    </row>
    <row r="27" spans="1:5" ht="12" hidden="1" customHeight="1" x14ac:dyDescent="0.25">
      <c r="A27" s="661"/>
      <c r="B27" s="659"/>
      <c r="C27" s="131" t="e">
        <f>'патриотика0,31'!#REF!</f>
        <v>#REF!</v>
      </c>
      <c r="D27" s="242" t="s">
        <v>88</v>
      </c>
      <c r="E27" s="91" t="e">
        <f>'патриотика0,31'!#REF!</f>
        <v>#REF!</v>
      </c>
    </row>
    <row r="28" spans="1:5" ht="12" hidden="1" customHeight="1" x14ac:dyDescent="0.25">
      <c r="A28" s="661"/>
      <c r="B28" s="659"/>
      <c r="C28" s="131" t="e">
        <f>'патриотика0,31'!#REF!</f>
        <v>#REF!</v>
      </c>
      <c r="D28" s="242" t="s">
        <v>88</v>
      </c>
      <c r="E28" s="91" t="e">
        <f>'патриотика0,31'!#REF!</f>
        <v>#REF!</v>
      </c>
    </row>
    <row r="29" spans="1:5" ht="12" hidden="1" customHeight="1" x14ac:dyDescent="0.25">
      <c r="A29" s="661"/>
      <c r="B29" s="659"/>
      <c r="C29" s="131" t="e">
        <f>'патриотика0,31'!#REF!</f>
        <v>#REF!</v>
      </c>
      <c r="D29" s="242" t="s">
        <v>88</v>
      </c>
      <c r="E29" s="91" t="e">
        <f>'патриотика0,31'!#REF!</f>
        <v>#REF!</v>
      </c>
    </row>
    <row r="30" spans="1:5" ht="12" hidden="1" customHeight="1" x14ac:dyDescent="0.25">
      <c r="A30" s="661"/>
      <c r="B30" s="659"/>
      <c r="C30" s="131" t="e">
        <f>'патриотика0,31'!#REF!</f>
        <v>#REF!</v>
      </c>
      <c r="D30" s="242" t="s">
        <v>88</v>
      </c>
      <c r="E30" s="91" t="e">
        <f>'патриотика0,31'!#REF!</f>
        <v>#REF!</v>
      </c>
    </row>
    <row r="31" spans="1:5" ht="12" hidden="1" customHeight="1" x14ac:dyDescent="0.25">
      <c r="A31" s="661"/>
      <c r="B31" s="659"/>
      <c r="C31" s="131" t="e">
        <f>'патриотика0,31'!#REF!</f>
        <v>#REF!</v>
      </c>
      <c r="D31" s="242" t="s">
        <v>88</v>
      </c>
      <c r="E31" s="91" t="e">
        <f>'патриотика0,31'!#REF!</f>
        <v>#REF!</v>
      </c>
    </row>
    <row r="32" spans="1:5" ht="12" hidden="1" customHeight="1" x14ac:dyDescent="0.25">
      <c r="A32" s="661"/>
      <c r="B32" s="659"/>
      <c r="C32" s="131" t="e">
        <f>'патриотика0,31'!#REF!</f>
        <v>#REF!</v>
      </c>
      <c r="D32" s="242" t="s">
        <v>88</v>
      </c>
      <c r="E32" s="91" t="e">
        <f>'патриотика0,31'!#REF!</f>
        <v>#REF!</v>
      </c>
    </row>
    <row r="33" spans="1:5" ht="12" hidden="1" customHeight="1" x14ac:dyDescent="0.25">
      <c r="A33" s="661"/>
      <c r="B33" s="659"/>
      <c r="C33" s="131" t="e">
        <f>'патриотика0,31'!#REF!</f>
        <v>#REF!</v>
      </c>
      <c r="D33" s="242" t="s">
        <v>88</v>
      </c>
      <c r="E33" s="91" t="e">
        <f>'патриотика0,31'!#REF!</f>
        <v>#REF!</v>
      </c>
    </row>
    <row r="34" spans="1:5" ht="12" hidden="1" customHeight="1" x14ac:dyDescent="0.25">
      <c r="A34" s="661"/>
      <c r="B34" s="659"/>
      <c r="C34" s="131" t="e">
        <f>'патриотика0,31'!#REF!</f>
        <v>#REF!</v>
      </c>
      <c r="D34" s="242" t="s">
        <v>88</v>
      </c>
      <c r="E34" s="91" t="e">
        <f>'патриотика0,31'!#REF!</f>
        <v>#REF!</v>
      </c>
    </row>
    <row r="35" spans="1:5" ht="12" hidden="1" customHeight="1" x14ac:dyDescent="0.25">
      <c r="A35" s="661"/>
      <c r="B35" s="659"/>
      <c r="C35" s="131" t="e">
        <f>'патриотика0,31'!#REF!</f>
        <v>#REF!</v>
      </c>
      <c r="D35" s="242" t="s">
        <v>88</v>
      </c>
      <c r="E35" s="91" t="e">
        <f>'патриотика0,31'!#REF!</f>
        <v>#REF!</v>
      </c>
    </row>
    <row r="36" spans="1:5" ht="12" hidden="1" customHeight="1" x14ac:dyDescent="0.25">
      <c r="A36" s="661"/>
      <c r="B36" s="659"/>
      <c r="C36" s="131" t="e">
        <f>'патриотика0,31'!#REF!</f>
        <v>#REF!</v>
      </c>
      <c r="D36" s="242" t="s">
        <v>88</v>
      </c>
      <c r="E36" s="91" t="e">
        <f>'патриотика0,31'!#REF!</f>
        <v>#REF!</v>
      </c>
    </row>
    <row r="37" spans="1:5" ht="12" hidden="1" customHeight="1" x14ac:dyDescent="0.25">
      <c r="A37" s="661"/>
      <c r="B37" s="659"/>
      <c r="C37" s="131" t="e">
        <f>'патриотика0,31'!#REF!</f>
        <v>#REF!</v>
      </c>
      <c r="D37" s="242" t="s">
        <v>88</v>
      </c>
      <c r="E37" s="91" t="e">
        <f>'патриотика0,31'!#REF!</f>
        <v>#REF!</v>
      </c>
    </row>
    <row r="38" spans="1:5" ht="12" hidden="1" customHeight="1" x14ac:dyDescent="0.25">
      <c r="A38" s="661"/>
      <c r="B38" s="659"/>
      <c r="C38" s="131" t="e">
        <f>'патриотика0,31'!#REF!</f>
        <v>#REF!</v>
      </c>
      <c r="D38" s="242" t="s">
        <v>88</v>
      </c>
      <c r="E38" s="91" t="e">
        <f>'патриотика0,31'!#REF!</f>
        <v>#REF!</v>
      </c>
    </row>
    <row r="39" spans="1:5" ht="12" hidden="1" customHeight="1" x14ac:dyDescent="0.25">
      <c r="A39" s="661"/>
      <c r="B39" s="659"/>
      <c r="C39" s="131" t="e">
        <f>'патриотика0,31'!#REF!</f>
        <v>#REF!</v>
      </c>
      <c r="D39" s="242" t="s">
        <v>88</v>
      </c>
      <c r="E39" s="91" t="e">
        <f>'патриотика0,31'!#REF!</f>
        <v>#REF!</v>
      </c>
    </row>
    <row r="40" spans="1:5" ht="12" hidden="1" customHeight="1" x14ac:dyDescent="0.25">
      <c r="A40" s="661"/>
      <c r="B40" s="659"/>
      <c r="C40" s="131" t="e">
        <f>'патриотика0,31'!#REF!</f>
        <v>#REF!</v>
      </c>
      <c r="D40" s="242" t="s">
        <v>88</v>
      </c>
      <c r="E40" s="91" t="e">
        <f>'патриотика0,31'!#REF!</f>
        <v>#REF!</v>
      </c>
    </row>
    <row r="41" spans="1:5" ht="12" hidden="1" customHeight="1" x14ac:dyDescent="0.25">
      <c r="A41" s="661"/>
      <c r="B41" s="659"/>
      <c r="C41" s="131" t="e">
        <f>'патриотика0,31'!#REF!</f>
        <v>#REF!</v>
      </c>
      <c r="D41" s="242" t="s">
        <v>88</v>
      </c>
      <c r="E41" s="91" t="e">
        <f>'патриотика0,31'!#REF!</f>
        <v>#REF!</v>
      </c>
    </row>
    <row r="42" spans="1:5" ht="12" hidden="1" customHeight="1" x14ac:dyDescent="0.25">
      <c r="A42" s="661"/>
      <c r="B42" s="659"/>
      <c r="C42" s="131" t="e">
        <f>'патриотика0,31'!#REF!</f>
        <v>#REF!</v>
      </c>
      <c r="D42" s="242" t="s">
        <v>88</v>
      </c>
      <c r="E42" s="91" t="e">
        <f>'патриотика0,31'!#REF!</f>
        <v>#REF!</v>
      </c>
    </row>
    <row r="43" spans="1:5" ht="12" hidden="1" customHeight="1" x14ac:dyDescent="0.25">
      <c r="A43" s="661"/>
      <c r="B43" s="659"/>
      <c r="C43" s="131" t="e">
        <f>'патриотика0,31'!#REF!</f>
        <v>#REF!</v>
      </c>
      <c r="D43" s="242" t="s">
        <v>88</v>
      </c>
      <c r="E43" s="91" t="e">
        <f>'патриотика0,31'!#REF!</f>
        <v>#REF!</v>
      </c>
    </row>
    <row r="44" spans="1:5" ht="12" customHeight="1" x14ac:dyDescent="0.25">
      <c r="A44" s="661"/>
      <c r="B44" s="659"/>
      <c r="C44" s="131" t="str">
        <f>'патриотика0,31'!A118</f>
        <v>материалы для проектов</v>
      </c>
      <c r="D44" s="242" t="s">
        <v>126</v>
      </c>
      <c r="E44" s="91">
        <f>'патриотика0,31'!E118</f>
        <v>1</v>
      </c>
    </row>
    <row r="45" spans="1:5" ht="12" hidden="1" customHeight="1" x14ac:dyDescent="0.25">
      <c r="A45" s="661"/>
      <c r="B45" s="659"/>
      <c r="C45" s="131" t="e">
        <f>'патриотика0,31'!#REF!</f>
        <v>#REF!</v>
      </c>
      <c r="D45" s="242" t="s">
        <v>88</v>
      </c>
      <c r="E45" s="91" t="e">
        <f>'патриотика0,31'!#REF!</f>
        <v>#REF!</v>
      </c>
    </row>
    <row r="46" spans="1:5" ht="12" hidden="1" customHeight="1" x14ac:dyDescent="0.25">
      <c r="A46" s="661"/>
      <c r="B46" s="659"/>
      <c r="C46" s="131">
        <f>'патриотика0,31'!A111</f>
        <v>0</v>
      </c>
      <c r="D46" s="242" t="s">
        <v>88</v>
      </c>
      <c r="E46" s="254"/>
    </row>
    <row r="47" spans="1:5" ht="12" hidden="1" customHeight="1" x14ac:dyDescent="0.25">
      <c r="A47" s="661"/>
      <c r="B47" s="659"/>
      <c r="C47" s="131">
        <f>'патриотика0,31'!A112</f>
        <v>0</v>
      </c>
      <c r="D47" s="242" t="s">
        <v>88</v>
      </c>
      <c r="E47" s="254"/>
    </row>
    <row r="48" spans="1:5" ht="12" hidden="1" customHeight="1" x14ac:dyDescent="0.25">
      <c r="A48" s="661"/>
      <c r="B48" s="659"/>
      <c r="C48" s="131" t="e">
        <f>'патриотика0,31'!#REF!</f>
        <v>#REF!</v>
      </c>
      <c r="D48" s="242" t="s">
        <v>88</v>
      </c>
      <c r="E48" s="254"/>
    </row>
    <row r="49" spans="1:5" ht="12" hidden="1" customHeight="1" x14ac:dyDescent="0.25">
      <c r="A49" s="661"/>
      <c r="B49" s="659"/>
      <c r="C49" s="131" t="e">
        <f>'патриотика0,31'!#REF!</f>
        <v>#REF!</v>
      </c>
      <c r="D49" s="242" t="s">
        <v>88</v>
      </c>
      <c r="E49" s="254"/>
    </row>
    <row r="50" spans="1:5" ht="26.45" customHeight="1" x14ac:dyDescent="0.25">
      <c r="A50" s="661"/>
      <c r="B50" s="659"/>
      <c r="C50" s="662" t="s">
        <v>139</v>
      </c>
      <c r="D50" s="663"/>
      <c r="E50" s="664"/>
    </row>
    <row r="51" spans="1:5" ht="14.45" customHeight="1" x14ac:dyDescent="0.25">
      <c r="A51" s="661"/>
      <c r="B51" s="659"/>
      <c r="C51" s="662" t="s">
        <v>140</v>
      </c>
      <c r="D51" s="663"/>
      <c r="E51" s="664"/>
    </row>
    <row r="52" spans="1:5" ht="14.45" customHeight="1" x14ac:dyDescent="0.25">
      <c r="A52" s="661"/>
      <c r="B52" s="659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'патриотика0,31'!D169</f>
        <v>17.05</v>
      </c>
    </row>
    <row r="53" spans="1:5" ht="14.45" customHeight="1" x14ac:dyDescent="0.25">
      <c r="A53" s="661"/>
      <c r="B53" s="659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'патриотика0,31'!D170</f>
        <v>32.952999999999996</v>
      </c>
    </row>
    <row r="54" spans="1:5" ht="14.45" customHeight="1" x14ac:dyDescent="0.25">
      <c r="A54" s="661"/>
      <c r="B54" s="659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'патриотика0,31'!D171</f>
        <v>1.8599999999999999</v>
      </c>
    </row>
    <row r="55" spans="1:5" ht="14.45" customHeight="1" x14ac:dyDescent="0.25">
      <c r="A55" s="661"/>
      <c r="B55" s="659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'патриотика0,31'!D172</f>
        <v>1.8599999999999999</v>
      </c>
    </row>
    <row r="56" spans="1:5" ht="14.45" customHeight="1" x14ac:dyDescent="0.25">
      <c r="A56" s="661"/>
      <c r="B56" s="659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'патриотика0,31'!D173</f>
        <v>1.1271599999999999</v>
      </c>
    </row>
    <row r="57" spans="1:5" ht="14.45" customHeight="1" x14ac:dyDescent="0.25">
      <c r="A57" s="661"/>
      <c r="B57" s="659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'патриотика0,31'!D174</f>
        <v>1.0378799999999999</v>
      </c>
    </row>
    <row r="58" spans="1:5" ht="39" customHeight="1" x14ac:dyDescent="0.25">
      <c r="A58" s="661"/>
      <c r="B58" s="659"/>
      <c r="C58" s="665" t="s">
        <v>141</v>
      </c>
      <c r="D58" s="666"/>
      <c r="E58" s="667"/>
    </row>
    <row r="59" spans="1:5" ht="23.25" customHeight="1" x14ac:dyDescent="0.25">
      <c r="A59" s="661"/>
      <c r="B59" s="659"/>
      <c r="C59" s="139" t="str">
        <f>'патриотика0,31'!A219</f>
        <v xml:space="preserve">Мониторинг систем пожарной сигнализации  </v>
      </c>
      <c r="D59" s="250" t="str">
        <f>'патриотика0,31'!B219</f>
        <v>договор</v>
      </c>
      <c r="E59" s="250">
        <f>'патриотика0,31'!D219</f>
        <v>3.7199999999999998</v>
      </c>
    </row>
    <row r="60" spans="1:5" ht="22.5" customHeight="1" x14ac:dyDescent="0.25">
      <c r="A60" s="661"/>
      <c r="B60" s="659"/>
      <c r="C60" s="139" t="str">
        <f>'патриотика0,31'!A220</f>
        <v xml:space="preserve">Уборка территории от снега </v>
      </c>
      <c r="D60" s="250" t="str">
        <f>'патриотика0,31'!B220</f>
        <v>договор</v>
      </c>
      <c r="E60" s="250">
        <f>'патриотика0,31'!D220</f>
        <v>0.62</v>
      </c>
    </row>
    <row r="61" spans="1:5" ht="15" customHeight="1" x14ac:dyDescent="0.25">
      <c r="A61" s="661"/>
      <c r="B61" s="659"/>
      <c r="C61" s="139" t="str">
        <f>'патриотика0,31'!A221</f>
        <v>Профилактическая дезинфекция</v>
      </c>
      <c r="D61" s="250" t="str">
        <f>'патриотика0,31'!B221</f>
        <v>договор</v>
      </c>
      <c r="E61" s="250">
        <f>'патриотика0,31'!D221</f>
        <v>0.31</v>
      </c>
    </row>
    <row r="62" spans="1:5" ht="15" customHeight="1" x14ac:dyDescent="0.25">
      <c r="A62" s="661"/>
      <c r="B62" s="659"/>
      <c r="C62" s="139" t="str">
        <f>'патриотика0,31'!A222</f>
        <v>Изготовление окна регистрации</v>
      </c>
      <c r="D62" s="250" t="str">
        <f>'патриотика0,31'!B222</f>
        <v>договор</v>
      </c>
      <c r="E62" s="250">
        <f>'патриотика0,31'!D222</f>
        <v>0.31</v>
      </c>
    </row>
    <row r="63" spans="1:5" ht="15" customHeight="1" x14ac:dyDescent="0.25">
      <c r="A63" s="661"/>
      <c r="B63" s="659"/>
      <c r="C63" s="139" t="str">
        <f>'патриотика0,31'!A223</f>
        <v>Замена аккумулятора охранной сигнализации</v>
      </c>
      <c r="D63" s="250" t="str">
        <f>'патриотика0,31'!B223</f>
        <v>договор</v>
      </c>
      <c r="E63" s="250">
        <f>'патриотика0,31'!D223</f>
        <v>0.31</v>
      </c>
    </row>
    <row r="64" spans="1:5" ht="15" customHeight="1" x14ac:dyDescent="0.25">
      <c r="A64" s="661"/>
      <c r="B64" s="659"/>
      <c r="C64" s="139" t="str">
        <f>'патриотика0,31'!A224</f>
        <v>Комплексное обслуживание системы тепловодоснабжения и конструктивных элементов здания</v>
      </c>
      <c r="D64" s="250" t="str">
        <f>'патриотика0,31'!B224</f>
        <v>договор</v>
      </c>
      <c r="E64" s="250">
        <f>'патриотика0,31'!D224</f>
        <v>0.31</v>
      </c>
    </row>
    <row r="65" spans="1:5" ht="15" customHeight="1" x14ac:dyDescent="0.25">
      <c r="A65" s="661"/>
      <c r="B65" s="659"/>
      <c r="C65" s="139" t="str">
        <f>'патриотика0,31'!A225</f>
        <v>Договор осмотр технического состояния автомобиля</v>
      </c>
      <c r="D65" s="250" t="str">
        <f>'патриотика0,31'!B225</f>
        <v>договор</v>
      </c>
      <c r="E65" s="250">
        <f>'патриотика0,31'!D225</f>
        <v>26.35</v>
      </c>
    </row>
    <row r="66" spans="1:5" ht="15" customHeight="1" x14ac:dyDescent="0.25">
      <c r="A66" s="661"/>
      <c r="B66" s="659"/>
      <c r="C66" s="139" t="str">
        <f>'патриотика0,31'!A226</f>
        <v>Техническое обслуживание систем пожарной сигнализации</v>
      </c>
      <c r="D66" s="250" t="str">
        <f>'патриотика0,31'!B226</f>
        <v>договор</v>
      </c>
      <c r="E66" s="250">
        <f>'патриотика0,31'!D226</f>
        <v>3.7199999999999998</v>
      </c>
    </row>
    <row r="67" spans="1:5" ht="15" customHeight="1" x14ac:dyDescent="0.25">
      <c r="A67" s="661"/>
      <c r="B67" s="659"/>
      <c r="C67" s="139" t="str">
        <f>'патриотика0,31'!A227</f>
        <v>Заправка катриджей</v>
      </c>
      <c r="D67" s="250" t="str">
        <f>'патриотика0,31'!B227</f>
        <v>договор</v>
      </c>
      <c r="E67" s="250">
        <f>'патриотика0,31'!D227</f>
        <v>3.1</v>
      </c>
    </row>
    <row r="68" spans="1:5" ht="15" customHeight="1" x14ac:dyDescent="0.25">
      <c r="A68" s="661"/>
      <c r="B68" s="659"/>
      <c r="C68" s="139" t="str">
        <f>'патриотика0,31'!A228</f>
        <v xml:space="preserve">ремонта отмостки и крылец здания МБУ «МЦ АУРУМ». </v>
      </c>
      <c r="D68" s="250" t="str">
        <f>'патриотика0,31'!B228</f>
        <v>договор</v>
      </c>
      <c r="E68" s="250">
        <f>'патриотика0,31'!D228</f>
        <v>0.31</v>
      </c>
    </row>
    <row r="69" spans="1:5" ht="15" customHeight="1" x14ac:dyDescent="0.25">
      <c r="A69" s="661"/>
      <c r="B69" s="659"/>
      <c r="C69" s="139">
        <f>'патриотика0,31'!A229</f>
        <v>0</v>
      </c>
      <c r="D69" s="250" t="str">
        <f>'патриотика0,31'!B229</f>
        <v>договор</v>
      </c>
      <c r="E69" s="250">
        <f>'патриотика0,31'!D229</f>
        <v>0.31</v>
      </c>
    </row>
    <row r="70" spans="1:5" ht="15" customHeight="1" x14ac:dyDescent="0.25">
      <c r="A70" s="661"/>
      <c r="B70" s="659"/>
      <c r="C70" s="139" t="str">
        <f>'патриотика0,31'!A230</f>
        <v>промывка и опрессовка</v>
      </c>
      <c r="D70" s="250" t="str">
        <f>'патриотика0,31'!B230</f>
        <v>договор</v>
      </c>
      <c r="E70" s="250">
        <f>'патриотика0,31'!D230</f>
        <v>0.31</v>
      </c>
    </row>
    <row r="71" spans="1:5" ht="15" customHeight="1" x14ac:dyDescent="0.25">
      <c r="A71" s="661"/>
      <c r="B71" s="659"/>
      <c r="C71" s="139" t="str">
        <f>'патриотика0,31'!A231</f>
        <v>Обучение электроустановки</v>
      </c>
      <c r="D71" s="250" t="str">
        <f>'патриотика0,31'!B231</f>
        <v>договор</v>
      </c>
      <c r="E71" s="250">
        <f>'патриотика0,31'!D231</f>
        <v>0.62</v>
      </c>
    </row>
    <row r="72" spans="1:5" ht="24.75" customHeight="1" x14ac:dyDescent="0.25">
      <c r="A72" s="661"/>
      <c r="B72" s="659"/>
      <c r="C72" s="139" t="str">
        <f>'патриотика0,31'!A232</f>
        <v>обучение молодежная политика</v>
      </c>
      <c r="D72" s="250" t="str">
        <f>'патриотика0,31'!B232</f>
        <v>договор</v>
      </c>
      <c r="E72" s="250">
        <f>'патриотика0,31'!D232</f>
        <v>0.31</v>
      </c>
    </row>
    <row r="73" spans="1:5" ht="17.25" customHeight="1" x14ac:dyDescent="0.25">
      <c r="A73" s="661"/>
      <c r="B73" s="659"/>
      <c r="C73" s="139" t="str">
        <f>'патриотика0,31'!A233</f>
        <v>обучение персонала</v>
      </c>
      <c r="D73" s="250" t="str">
        <f>'патриотика0,31'!B233</f>
        <v>договор</v>
      </c>
      <c r="E73" s="250">
        <f>'патриотика0,31'!D233</f>
        <v>0.62</v>
      </c>
    </row>
    <row r="74" spans="1:5" ht="15" customHeight="1" x14ac:dyDescent="0.25">
      <c r="A74" s="661"/>
      <c r="B74" s="659"/>
      <c r="C74" s="139" t="str">
        <f>'патриотика0,31'!A234</f>
        <v>Возмещение мед осмотра (112/212)</v>
      </c>
      <c r="D74" s="250" t="str">
        <f>'патриотика0,31'!B234</f>
        <v>договор</v>
      </c>
      <c r="E74" s="250">
        <f>'патриотика0,31'!D234</f>
        <v>0.31</v>
      </c>
    </row>
    <row r="75" spans="1:5" ht="15" customHeight="1" x14ac:dyDescent="0.25">
      <c r="A75" s="661"/>
      <c r="B75" s="659"/>
      <c r="C75" s="139" t="str">
        <f>'патриотика0,31'!A235</f>
        <v>Услуги СЕМИС подписка</v>
      </c>
      <c r="D75" s="250" t="str">
        <f>'патриотика0,31'!B235</f>
        <v>договор</v>
      </c>
      <c r="E75" s="250">
        <f>'патриотика0,31'!D235</f>
        <v>0.31</v>
      </c>
    </row>
    <row r="76" spans="1:5" ht="15" customHeight="1" x14ac:dyDescent="0.25">
      <c r="A76" s="661"/>
      <c r="B76" s="659"/>
      <c r="C76" s="139" t="str">
        <f>'патриотика0,31'!A236</f>
        <v>Изготовление полка двухуровневого для создания открытого пространства</v>
      </c>
      <c r="D76" s="250" t="str">
        <f>'патриотика0,31'!B236</f>
        <v>договор</v>
      </c>
      <c r="E76" s="250">
        <f>'патриотика0,31'!D236</f>
        <v>0.31</v>
      </c>
    </row>
    <row r="77" spans="1:5" ht="28.5" customHeight="1" x14ac:dyDescent="0.25">
      <c r="A77" s="661"/>
      <c r="B77" s="659"/>
      <c r="C77" s="139" t="str">
        <f>'патриотика0,31'!A237</f>
        <v>Предрейсовое медицинское обследование 200дней*85руб</v>
      </c>
      <c r="D77" s="250" t="str">
        <f>'патриотика0,31'!B237</f>
        <v>договор</v>
      </c>
      <c r="E77" s="250">
        <f>'патриотика0,31'!D237</f>
        <v>62</v>
      </c>
    </row>
    <row r="78" spans="1:5" ht="15" customHeight="1" x14ac:dyDescent="0.25">
      <c r="A78" s="661"/>
      <c r="B78" s="659"/>
      <c r="C78" s="139" t="str">
        <f>'патриотика0,31'!A238</f>
        <v xml:space="preserve">Услуги охраны  </v>
      </c>
      <c r="D78" s="250" t="str">
        <f>'патриотика0,31'!B238</f>
        <v>договор</v>
      </c>
      <c r="E78" s="250">
        <f>'патриотика0,31'!D238</f>
        <v>3.7199999999999998</v>
      </c>
    </row>
    <row r="79" spans="1:5" ht="24.75" customHeight="1" x14ac:dyDescent="0.25">
      <c r="A79" s="661"/>
      <c r="B79" s="659"/>
      <c r="C79" s="139" t="str">
        <f>'патриотика0,31'!A239</f>
        <v>Обслуживание систем охранных средств сигнализации (тревожная кнопка)</v>
      </c>
      <c r="D79" s="250" t="str">
        <f>'патриотика0,31'!B239</f>
        <v>договор</v>
      </c>
      <c r="E79" s="250">
        <f>'патриотика0,31'!D239</f>
        <v>3.7199999999999998</v>
      </c>
    </row>
    <row r="80" spans="1:5" ht="15" customHeight="1" x14ac:dyDescent="0.25">
      <c r="A80" s="661"/>
      <c r="B80" s="659"/>
      <c r="C80" s="139" t="str">
        <f>'патриотика0,31'!A240</f>
        <v>Изготовление декоративного камина</v>
      </c>
      <c r="D80" s="250" t="str">
        <f>'патриотика0,31'!B240</f>
        <v>договор</v>
      </c>
      <c r="E80" s="250">
        <f>'патриотика0,31'!D240</f>
        <v>0.31</v>
      </c>
    </row>
    <row r="81" spans="1:5" ht="15" customHeight="1" x14ac:dyDescent="0.25">
      <c r="A81" s="661"/>
      <c r="B81" s="659"/>
      <c r="C81" s="139" t="str">
        <f>'патриотика0,31'!A241</f>
        <v>Организация питания воинов-интернационалистов</v>
      </c>
      <c r="D81" s="250" t="str">
        <f>'патриотика0,31'!B241</f>
        <v>договор</v>
      </c>
      <c r="E81" s="250">
        <f>'патриотика0,31'!D241</f>
        <v>0.31</v>
      </c>
    </row>
    <row r="82" spans="1:5" ht="15" customHeight="1" x14ac:dyDescent="0.25">
      <c r="A82" s="661"/>
      <c r="B82" s="659"/>
      <c r="C82" s="139" t="str">
        <f>'патриотика0,31'!A242</f>
        <v>изготовление металлической фигуры медведя (ГПХ)</v>
      </c>
      <c r="D82" s="250" t="str">
        <f>'патриотика0,31'!B242</f>
        <v>договор</v>
      </c>
      <c r="E82" s="250">
        <f>'патриотика0,31'!D242</f>
        <v>0.31</v>
      </c>
    </row>
    <row r="83" spans="1:5" ht="15" customHeight="1" x14ac:dyDescent="0.25">
      <c r="A83" s="661"/>
      <c r="B83" s="659"/>
      <c r="C83" s="139" t="str">
        <f>'патриотика0,31'!A243</f>
        <v>Microsoft Windows 10</v>
      </c>
      <c r="D83" s="250" t="str">
        <f>'патриотика0,31'!B243</f>
        <v>договор</v>
      </c>
      <c r="E83" s="250">
        <f>'патриотика0,31'!D243</f>
        <v>0.62</v>
      </c>
    </row>
    <row r="84" spans="1:5" ht="15" customHeight="1" x14ac:dyDescent="0.25">
      <c r="A84" s="661"/>
      <c r="B84" s="659"/>
      <c r="C84" s="139" t="str">
        <f>'патриотика0,31'!A244</f>
        <v>Microsoft Office 2013</v>
      </c>
      <c r="D84" s="250" t="str">
        <f>'патриотика0,31'!B244</f>
        <v>договор</v>
      </c>
      <c r="E84" s="250">
        <f>'патриотика0,31'!D244</f>
        <v>0.62</v>
      </c>
    </row>
    <row r="85" spans="1:5" ht="12" customHeight="1" x14ac:dyDescent="0.25">
      <c r="A85" s="661"/>
      <c r="B85" s="659"/>
      <c r="C85" s="640" t="s">
        <v>142</v>
      </c>
      <c r="D85" s="641"/>
      <c r="E85" s="642"/>
    </row>
    <row r="86" spans="1:5" ht="14.45" customHeight="1" x14ac:dyDescent="0.25">
      <c r="A86" s="661"/>
      <c r="B86" s="659"/>
      <c r="C86" s="140" t="str">
        <f>'инновации+добровольчество0,41'!A246</f>
        <v>переговоры по району, мин</v>
      </c>
      <c r="D86" s="101" t="s">
        <v>90</v>
      </c>
      <c r="E86" s="233">
        <f>'патриотика0,31'!D200</f>
        <v>34.320099999999996</v>
      </c>
    </row>
    <row r="87" spans="1:5" ht="12" customHeight="1" x14ac:dyDescent="0.25">
      <c r="A87" s="661"/>
      <c r="B87" s="659"/>
      <c r="C87" s="140" t="str">
        <f>'инновации+добровольчество0,41'!A247</f>
        <v>Переговоры за пределами района,мин</v>
      </c>
      <c r="D87" s="101" t="s">
        <v>22</v>
      </c>
      <c r="E87" s="233">
        <f>'патриотика0,31'!D201</f>
        <v>3.1061999999999999</v>
      </c>
    </row>
    <row r="88" spans="1:5" ht="12" customHeight="1" x14ac:dyDescent="0.25">
      <c r="A88" s="661"/>
      <c r="B88" s="659"/>
      <c r="C88" s="140" t="str">
        <f>'инновации+добровольчество0,41'!A248</f>
        <v>Абоненская плата за услуги связи, номеров</v>
      </c>
      <c r="D88" s="101" t="s">
        <v>37</v>
      </c>
      <c r="E88" s="233">
        <f>'патриотика0,31'!D202</f>
        <v>0.31</v>
      </c>
    </row>
    <row r="89" spans="1:5" ht="12" customHeight="1" x14ac:dyDescent="0.25">
      <c r="A89" s="661"/>
      <c r="B89" s="659"/>
      <c r="C89" s="140" t="str">
        <f>'инновации+добровольчество0,41'!A249</f>
        <v xml:space="preserve">Абоненская плата за услуги Интернет </v>
      </c>
      <c r="D89" s="101" t="s">
        <v>37</v>
      </c>
      <c r="E89" s="233">
        <f>'патриотика0,31'!D203</f>
        <v>0.31</v>
      </c>
    </row>
    <row r="90" spans="1:5" ht="12" customHeight="1" x14ac:dyDescent="0.25">
      <c r="A90" s="661"/>
      <c r="B90" s="659"/>
      <c r="C90" s="140" t="str">
        <f>'инновации+добровольчество0,41'!A250</f>
        <v>Почтовые конверты</v>
      </c>
      <c r="D90" s="101" t="s">
        <v>38</v>
      </c>
      <c r="E90" s="233">
        <f>'патриотика0,31'!D204</f>
        <v>52.7</v>
      </c>
    </row>
    <row r="91" spans="1:5" ht="12" hidden="1" customHeight="1" x14ac:dyDescent="0.25">
      <c r="A91" s="661"/>
      <c r="B91" s="659"/>
      <c r="C91" s="140" t="e">
        <f>'инновации+добровольчество0,41'!#REF!</f>
        <v>#REF!</v>
      </c>
      <c r="D91" s="101" t="s">
        <v>38</v>
      </c>
      <c r="E91" s="233" t="e">
        <f>'патриотика0,31'!#REF!</f>
        <v>#REF!</v>
      </c>
    </row>
    <row r="92" spans="1:5" ht="12" hidden="1" customHeight="1" x14ac:dyDescent="0.25">
      <c r="A92" s="661"/>
      <c r="B92" s="659"/>
      <c r="C92" s="140" t="e">
        <f>'инновации+добровольчество0,41'!#REF!</f>
        <v>#REF!</v>
      </c>
      <c r="D92" s="101" t="s">
        <v>22</v>
      </c>
      <c r="E92" s="233" t="e">
        <f>'патриотика0,31'!#REF!</f>
        <v>#REF!</v>
      </c>
    </row>
    <row r="93" spans="1:5" ht="22.5" customHeight="1" x14ac:dyDescent="0.25">
      <c r="A93" s="661"/>
      <c r="B93" s="659"/>
      <c r="C93" s="643" t="s">
        <v>143</v>
      </c>
      <c r="D93" s="644"/>
      <c r="E93" s="645"/>
    </row>
    <row r="94" spans="1:5" ht="21" customHeight="1" x14ac:dyDescent="0.25">
      <c r="A94" s="661"/>
      <c r="B94" s="659"/>
      <c r="C94" s="110" t="str">
        <f>'натур показатели инновации+добр'!C77</f>
        <v>Заведующий МЦ</v>
      </c>
      <c r="D94" s="141" t="s">
        <v>147</v>
      </c>
      <c r="E94" s="221">
        <f>'патриотика0,31'!D137</f>
        <v>0.31</v>
      </c>
    </row>
    <row r="95" spans="1:5" ht="12" customHeight="1" x14ac:dyDescent="0.25">
      <c r="A95" s="661"/>
      <c r="B95" s="659"/>
      <c r="C95" s="120" t="s">
        <v>145</v>
      </c>
      <c r="D95" s="141" t="s">
        <v>138</v>
      </c>
      <c r="E95" s="323">
        <f>'патриотика0,31'!D138</f>
        <v>0.31</v>
      </c>
    </row>
    <row r="96" spans="1:5" ht="12" customHeight="1" x14ac:dyDescent="0.25">
      <c r="A96" s="661"/>
      <c r="B96" s="659"/>
      <c r="C96" s="120" t="s">
        <v>91</v>
      </c>
      <c r="D96" s="141" t="s">
        <v>138</v>
      </c>
      <c r="E96" s="323">
        <f>'патриотика0,31'!D139</f>
        <v>0.155</v>
      </c>
    </row>
    <row r="97" spans="1:5" ht="12" customHeight="1" x14ac:dyDescent="0.25">
      <c r="A97" s="661"/>
      <c r="B97" s="659"/>
      <c r="C97" s="120" t="s">
        <v>146</v>
      </c>
      <c r="D97" s="141" t="s">
        <v>138</v>
      </c>
      <c r="E97" s="323">
        <f>'патриотика0,31'!D140</f>
        <v>0.31</v>
      </c>
    </row>
    <row r="98" spans="1:5" ht="12" customHeight="1" x14ac:dyDescent="0.25">
      <c r="A98" s="661"/>
      <c r="B98" s="659"/>
      <c r="C98" s="537" t="s">
        <v>150</v>
      </c>
      <c r="D98" s="538"/>
      <c r="E98" s="539"/>
    </row>
    <row r="99" spans="1:5" ht="28.15" customHeight="1" x14ac:dyDescent="0.25">
      <c r="A99" s="661"/>
      <c r="B99" s="659"/>
      <c r="C99" s="122" t="str">
        <f>'инновации+добровольчество0,41'!A216</f>
        <v>Пособие по уходу за ребенком до 3-х лет</v>
      </c>
      <c r="D99" s="123" t="s">
        <v>126</v>
      </c>
      <c r="E99" s="234">
        <f>E94</f>
        <v>0.31</v>
      </c>
    </row>
    <row r="100" spans="1:5" ht="25.9" customHeight="1" x14ac:dyDescent="0.25">
      <c r="A100" s="661"/>
      <c r="B100" s="659"/>
      <c r="C100" s="643" t="s">
        <v>151</v>
      </c>
      <c r="D100" s="644"/>
      <c r="E100" s="645"/>
    </row>
    <row r="101" spans="1:5" ht="40.15" customHeight="1" x14ac:dyDescent="0.25">
      <c r="A101" s="661"/>
      <c r="B101" s="659"/>
      <c r="C101" s="121" t="s">
        <v>202</v>
      </c>
      <c r="D101" s="101" t="s">
        <v>39</v>
      </c>
      <c r="E101" s="231">
        <f>'патриотика0,31'!E191</f>
        <v>6.2</v>
      </c>
    </row>
    <row r="102" spans="1:5" ht="25.9" customHeight="1" x14ac:dyDescent="0.25">
      <c r="A102" s="661"/>
      <c r="B102" s="659"/>
      <c r="C102" s="121" t="s">
        <v>203</v>
      </c>
      <c r="D102" s="101" t="s">
        <v>39</v>
      </c>
      <c r="E102" s="231">
        <f>'патриотика0,31'!E192</f>
        <v>1.55</v>
      </c>
    </row>
    <row r="103" spans="1:5" ht="24" customHeight="1" x14ac:dyDescent="0.25">
      <c r="A103" s="661"/>
      <c r="B103" s="659"/>
      <c r="C103" s="121" t="s">
        <v>204</v>
      </c>
      <c r="D103" s="101" t="s">
        <v>39</v>
      </c>
      <c r="E103" s="231">
        <f>'патриотика0,31'!E193</f>
        <v>4.6500000000000004</v>
      </c>
    </row>
    <row r="104" spans="1:5" ht="21" customHeight="1" x14ac:dyDescent="0.25">
      <c r="A104" s="661"/>
      <c r="B104" s="659"/>
      <c r="C104" s="540" t="s">
        <v>152</v>
      </c>
      <c r="D104" s="541"/>
      <c r="E104" s="542"/>
    </row>
    <row r="105" spans="1:5" ht="18.600000000000001" customHeight="1" x14ac:dyDescent="0.25">
      <c r="A105" s="661"/>
      <c r="B105" s="659"/>
      <c r="C105" s="124" t="str">
        <f>'инновации+добровольчество0,41'!A258</f>
        <v>Провоз груза 2000 кг (1 кг=9,50 руб)</v>
      </c>
      <c r="D105" s="125" t="s">
        <v>22</v>
      </c>
      <c r="E105" s="84">
        <f>'патриотика0,31'!D212</f>
        <v>0.31</v>
      </c>
    </row>
    <row r="106" spans="1:5" ht="12" customHeight="1" x14ac:dyDescent="0.25">
      <c r="A106" s="661"/>
      <c r="B106" s="659"/>
      <c r="C106" s="640" t="s">
        <v>153</v>
      </c>
      <c r="D106" s="641"/>
      <c r="E106" s="642"/>
    </row>
    <row r="107" spans="1:5" ht="14.45" customHeight="1" x14ac:dyDescent="0.25">
      <c r="A107" s="661"/>
      <c r="B107" s="659"/>
      <c r="C107" s="112" t="str">
        <f>'натур показатели инновации+добр'!C91</f>
        <v>Пиломатериал доска 100*50*6000</v>
      </c>
      <c r="D107" s="67" t="str">
        <f>'натур показатели инновации+добр'!D91</f>
        <v>шт</v>
      </c>
      <c r="E107" s="170">
        <f>'патриотика0,31'!D251</f>
        <v>0.31</v>
      </c>
    </row>
    <row r="108" spans="1:5" ht="14.45" customHeight="1" x14ac:dyDescent="0.25">
      <c r="A108" s="661"/>
      <c r="B108" s="659"/>
      <c r="C108" s="112" t="str">
        <f>'натур показатели инновации+добр'!C92</f>
        <v>Брусок 100*100*6000</v>
      </c>
      <c r="D108" s="67" t="str">
        <f>'натур показатели инновации+добр'!D92</f>
        <v>шт</v>
      </c>
      <c r="E108" s="170">
        <f>'патриотика0,31'!D252</f>
        <v>0.31</v>
      </c>
    </row>
    <row r="109" spans="1:5" ht="15" customHeight="1" x14ac:dyDescent="0.25">
      <c r="A109" s="661"/>
      <c r="B109" s="659"/>
      <c r="C109" s="112" t="str">
        <f>'натур показатели инновации+добр'!C93</f>
        <v>Искусственный камень</v>
      </c>
      <c r="D109" s="67" t="str">
        <f>'натур показатели инновации+добр'!D93</f>
        <v>шт</v>
      </c>
      <c r="E109" s="170">
        <f>'патриотика0,31'!D253</f>
        <v>3.1</v>
      </c>
    </row>
    <row r="110" spans="1:5" ht="16.5" customHeight="1" x14ac:dyDescent="0.25">
      <c r="A110" s="661"/>
      <c r="B110" s="659"/>
      <c r="C110" s="112" t="str">
        <f>'натур показатели инновации+добр'!C94</f>
        <v>карбонат монолитный</v>
      </c>
      <c r="D110" s="67" t="str">
        <f>'натур показатели инновации+добр'!D94</f>
        <v>шт</v>
      </c>
      <c r="E110" s="170">
        <f>'патриотика0,31'!D254</f>
        <v>1.55</v>
      </c>
    </row>
    <row r="111" spans="1:5" ht="12" customHeight="1" x14ac:dyDescent="0.25">
      <c r="A111" s="661"/>
      <c r="B111" s="659"/>
      <c r="C111" s="112" t="str">
        <f>'натур показатели инновации+добр'!C95</f>
        <v>Катридж CN54AE HP 933XL</v>
      </c>
      <c r="D111" s="67" t="str">
        <f>'натур показатели инновации+добр'!D95</f>
        <v>шт</v>
      </c>
      <c r="E111" s="170">
        <f>'патриотика0,31'!D255</f>
        <v>2.79</v>
      </c>
    </row>
    <row r="112" spans="1:5" ht="12" customHeight="1" x14ac:dyDescent="0.25">
      <c r="A112" s="661"/>
      <c r="B112" s="659"/>
      <c r="C112" s="112" t="str">
        <f>'натур показатели инновации+добр'!C96</f>
        <v>Катридж CN54AE HP 932XL</v>
      </c>
      <c r="D112" s="67" t="str">
        <f>'натур показатели инновации+добр'!D96</f>
        <v>шт</v>
      </c>
      <c r="E112" s="170">
        <f>'патриотика0,31'!D256</f>
        <v>0.92999999999999994</v>
      </c>
    </row>
    <row r="113" spans="1:5" ht="12" customHeight="1" x14ac:dyDescent="0.25">
      <c r="A113" s="661"/>
      <c r="B113" s="659"/>
      <c r="C113" s="112" t="str">
        <f>'натур показатели инновации+добр'!C97</f>
        <v>Чернила Canon Gl-490C PIXMA</v>
      </c>
      <c r="D113" s="67" t="str">
        <f>'натур показатели инновации+добр'!D97</f>
        <v>шт</v>
      </c>
      <c r="E113" s="170">
        <f>'патриотика0,31'!D257</f>
        <v>3.7199999999999998</v>
      </c>
    </row>
    <row r="114" spans="1:5" ht="12" customHeight="1" x14ac:dyDescent="0.25">
      <c r="A114" s="661"/>
      <c r="B114" s="659"/>
      <c r="C114" s="112" t="str">
        <f>'натур показатели инновации+добр'!C98</f>
        <v>Бумага А4 500 шт. SvetoCopy</v>
      </c>
      <c r="D114" s="67" t="str">
        <f>'натур показатели инновации+добр'!D98</f>
        <v>шт</v>
      </c>
      <c r="E114" s="170">
        <f>'патриотика0,31'!D258</f>
        <v>9.3000000000000007</v>
      </c>
    </row>
    <row r="115" spans="1:5" ht="12" customHeight="1" x14ac:dyDescent="0.25">
      <c r="A115" s="661"/>
      <c r="B115" s="659"/>
      <c r="C115" s="112" t="str">
        <f>'натур показатели инновации+добр'!C99</f>
        <v>Бумага А3 500 шт. SvetoCopy</v>
      </c>
      <c r="D115" s="67" t="str">
        <f>'натур показатели инновации+добр'!D99</f>
        <v>шт</v>
      </c>
      <c r="E115" s="170">
        <f>'патриотика0,31'!D259</f>
        <v>6.2</v>
      </c>
    </row>
    <row r="116" spans="1:5" ht="22.15" customHeight="1" x14ac:dyDescent="0.25">
      <c r="A116" s="661"/>
      <c r="B116" s="659"/>
      <c r="C116" s="112" t="str">
        <f>'натур показатели инновации+добр'!C100</f>
        <v>Фанера</v>
      </c>
      <c r="D116" s="67" t="str">
        <f>'натур показатели инновации+добр'!D100</f>
        <v>шт</v>
      </c>
      <c r="E116" s="170">
        <f>'патриотика0,31'!D260</f>
        <v>0.31</v>
      </c>
    </row>
    <row r="117" spans="1:5" ht="12" customHeight="1" x14ac:dyDescent="0.25">
      <c r="A117" s="661"/>
      <c r="B117" s="659"/>
      <c r="C117" s="112" t="str">
        <f>'натур показатели инновации+добр'!C101</f>
        <v>Антифриз</v>
      </c>
      <c r="D117" s="67" t="str">
        <f>'натур показатели инновации+добр'!D101</f>
        <v>шт</v>
      </c>
      <c r="E117" s="170">
        <f>'патриотика0,31'!D261</f>
        <v>9.3000000000000007</v>
      </c>
    </row>
    <row r="118" spans="1:5" ht="22.15" customHeight="1" x14ac:dyDescent="0.25">
      <c r="A118" s="661"/>
      <c r="B118" s="659"/>
      <c r="C118" s="112" t="str">
        <f>'натур показатели инновации+добр'!C102</f>
        <v>насадка на швабру</v>
      </c>
      <c r="D118" s="67" t="str">
        <f>'натур показатели инновации+добр'!D102</f>
        <v>шт</v>
      </c>
      <c r="E118" s="170">
        <f>'патриотика0,31'!D262</f>
        <v>3.1</v>
      </c>
    </row>
    <row r="119" spans="1:5" ht="15.75" customHeight="1" x14ac:dyDescent="0.25">
      <c r="A119" s="661"/>
      <c r="B119" s="659"/>
      <c r="C119" s="112" t="str">
        <f>'натур показатели инновации+добр'!C103</f>
        <v>дез ср/во для сантехники</v>
      </c>
      <c r="D119" s="67" t="str">
        <f>'натур показатели инновации+добр'!D103</f>
        <v>шт</v>
      </c>
      <c r="E119" s="170">
        <f>'патриотика0,31'!D263</f>
        <v>0.62</v>
      </c>
    </row>
    <row r="120" spans="1:5" ht="13.5" hidden="1" customHeight="1" x14ac:dyDescent="0.25">
      <c r="A120" s="661"/>
      <c r="B120" s="659"/>
      <c r="C120" s="112" t="str">
        <f>'натур показатели инновации+добр'!C104</f>
        <v>ср-во для чистки стекол</v>
      </c>
      <c r="D120" s="67" t="str">
        <f>'натур показатели инновации+добр'!D104</f>
        <v>шт</v>
      </c>
      <c r="E120" s="170">
        <f>'патриотика0,31'!D264</f>
        <v>1.55</v>
      </c>
    </row>
    <row r="121" spans="1:5" ht="12" hidden="1" customHeight="1" x14ac:dyDescent="0.25">
      <c r="A121" s="661"/>
      <c r="B121" s="659"/>
      <c r="C121" s="112" t="str">
        <f>'натур показатели инновации+добр'!C105</f>
        <v>ватные диски +терм</v>
      </c>
      <c r="D121" s="67" t="str">
        <f>'натур показатели инновации+добр'!D105</f>
        <v>шт</v>
      </c>
      <c r="E121" s="170">
        <f>'патриотика0,31'!D265</f>
        <v>0.31</v>
      </c>
    </row>
    <row r="122" spans="1:5" ht="12" customHeight="1" x14ac:dyDescent="0.25">
      <c r="A122" s="661"/>
      <c r="B122" s="659"/>
      <c r="C122" s="112" t="str">
        <f>'натур показатели инновации+добр'!C106</f>
        <v>щит мет</v>
      </c>
      <c r="D122" s="67" t="str">
        <f>'натур показатели инновации+добр'!D106</f>
        <v>шт</v>
      </c>
      <c r="E122" s="170">
        <f>'патриотика0,31'!D266</f>
        <v>0.31</v>
      </c>
    </row>
    <row r="123" spans="1:5" ht="12" hidden="1" customHeight="1" x14ac:dyDescent="0.25">
      <c r="A123" s="661"/>
      <c r="B123" s="659"/>
      <c r="C123" s="112" t="str">
        <f>'натур показатели инновации+добр'!C107</f>
        <v>уголок</v>
      </c>
      <c r="D123" s="67" t="str">
        <f>'натур показатели инновации+добр'!D107</f>
        <v>шт</v>
      </c>
      <c r="E123" s="170">
        <f>'патриотика0,31'!D267</f>
        <v>0.62</v>
      </c>
    </row>
    <row r="124" spans="1:5" ht="12" hidden="1" customHeight="1" x14ac:dyDescent="0.25">
      <c r="A124" s="661"/>
      <c r="B124" s="659"/>
      <c r="C124" s="112" t="str">
        <f>'натур показатели инновации+добр'!C108</f>
        <v>держатель зерк</v>
      </c>
      <c r="D124" s="67" t="str">
        <f>'натур показатели инновации+добр'!D108</f>
        <v>шт</v>
      </c>
      <c r="E124" s="170">
        <f>'патриотика0,31'!D268</f>
        <v>1.8599999999999999</v>
      </c>
    </row>
    <row r="125" spans="1:5" ht="12" hidden="1" customHeight="1" x14ac:dyDescent="0.25">
      <c r="A125" s="661"/>
      <c r="B125" s="659"/>
      <c r="C125" s="112" t="str">
        <f>'натур показатели инновации+добр'!C109</f>
        <v>краска</v>
      </c>
      <c r="D125" s="67" t="str">
        <f>'натур показатели инновации+добр'!D109</f>
        <v>шт</v>
      </c>
      <c r="E125" s="170">
        <f>'патриотика0,31'!D269</f>
        <v>0.31</v>
      </c>
    </row>
    <row r="126" spans="1:5" ht="12" customHeight="1" x14ac:dyDescent="0.25">
      <c r="A126" s="661"/>
      <c r="B126" s="659"/>
      <c r="C126" s="112" t="str">
        <f>'натур показатели инновации+добр'!C110</f>
        <v>колер</v>
      </c>
      <c r="D126" s="67" t="str">
        <f>'натур показатели инновации+добр'!D110</f>
        <v>шт</v>
      </c>
      <c r="E126" s="170">
        <f>'патриотика0,31'!D270</f>
        <v>2.79</v>
      </c>
    </row>
    <row r="127" spans="1:5" ht="12" customHeight="1" x14ac:dyDescent="0.25">
      <c r="A127" s="661"/>
      <c r="B127" s="659"/>
      <c r="C127" s="112" t="str">
        <f>'натур показатели инновации+добр'!C111</f>
        <v>эмаль</v>
      </c>
      <c r="D127" s="67" t="str">
        <f>'натур показатели инновации+добр'!D111</f>
        <v>шт</v>
      </c>
      <c r="E127" s="170">
        <f>'патриотика0,31'!D271</f>
        <v>0.31</v>
      </c>
    </row>
    <row r="128" spans="1:5" ht="12" customHeight="1" x14ac:dyDescent="0.25">
      <c r="A128" s="661"/>
      <c r="B128" s="659"/>
      <c r="C128" s="112" t="str">
        <f>'натур показатели инновации+добр'!C112</f>
        <v>Молоток</v>
      </c>
      <c r="D128" s="67" t="str">
        <f>'натур показатели инновации+добр'!D112</f>
        <v>шт</v>
      </c>
      <c r="E128" s="170">
        <f>'патриотика0,31'!D272</f>
        <v>0.92999999999999994</v>
      </c>
    </row>
    <row r="129" spans="1:5" ht="12" customHeight="1" x14ac:dyDescent="0.25">
      <c r="A129" s="661"/>
      <c r="B129" s="659"/>
      <c r="C129" s="112" t="str">
        <f>'натур показатели инновации+добр'!C113</f>
        <v>Гвозди</v>
      </c>
      <c r="D129" s="67" t="str">
        <f>'натур показатели инновации+добр'!D113</f>
        <v>шт</v>
      </c>
      <c r="E129" s="170">
        <f>'патриотика0,31'!D273</f>
        <v>0.62</v>
      </c>
    </row>
    <row r="130" spans="1:5" ht="12" customHeight="1" x14ac:dyDescent="0.25">
      <c r="A130" s="661"/>
      <c r="B130" s="659"/>
      <c r="C130" s="112" t="str">
        <f>'натур показатели инновации+добр'!C114</f>
        <v>Тонер НР</v>
      </c>
      <c r="D130" s="67" t="str">
        <f>'натур показатели инновации+добр'!D114</f>
        <v>шт</v>
      </c>
      <c r="E130" s="170">
        <f>'патриотика0,31'!D274</f>
        <v>0.62</v>
      </c>
    </row>
    <row r="131" spans="1:5" ht="12" customHeight="1" x14ac:dyDescent="0.25">
      <c r="A131" s="661"/>
      <c r="B131" s="659"/>
      <c r="C131" s="112" t="str">
        <f>'натур показатели инновации+добр'!C115</f>
        <v>Тонер Canon</v>
      </c>
      <c r="D131" s="67" t="str">
        <f>'натур показатели инновации+добр'!D115</f>
        <v>шт</v>
      </c>
      <c r="E131" s="170">
        <f>'патриотика0,31'!D275</f>
        <v>0.31</v>
      </c>
    </row>
    <row r="132" spans="1:5" ht="12" customHeight="1" x14ac:dyDescent="0.25">
      <c r="A132" s="661"/>
      <c r="B132" s="659"/>
      <c r="C132" s="112" t="str">
        <f>'натур показатели инновации+добр'!C116</f>
        <v>Эмаль</v>
      </c>
      <c r="D132" s="67" t="str">
        <f>'натур показатели инновации+добр'!D116</f>
        <v>шт</v>
      </c>
      <c r="E132" s="170">
        <f>'патриотика0,31'!D276</f>
        <v>0.62</v>
      </c>
    </row>
    <row r="133" spans="1:5" ht="12" customHeight="1" x14ac:dyDescent="0.25">
      <c r="A133" s="661"/>
      <c r="B133" s="659"/>
      <c r="C133" s="112" t="str">
        <f>'натур показатели инновации+добр'!C117</f>
        <v>Эмаль аэрозоль</v>
      </c>
      <c r="D133" s="67" t="str">
        <f>'натур показатели инновации+добр'!D117</f>
        <v>шт</v>
      </c>
      <c r="E133" s="170">
        <f>'патриотика0,31'!D277</f>
        <v>2.48</v>
      </c>
    </row>
    <row r="134" spans="1:5" ht="12" customHeight="1" x14ac:dyDescent="0.25">
      <c r="A134" s="661"/>
      <c r="B134" s="659"/>
      <c r="C134" s="112" t="str">
        <f>'натур показатели инновации+добр'!C118</f>
        <v>пакет майка</v>
      </c>
      <c r="D134" s="67" t="str">
        <f>'натур показатели инновации+добр'!D118</f>
        <v>шт</v>
      </c>
      <c r="E134" s="170">
        <f>'патриотика0,31'!D278</f>
        <v>0.31</v>
      </c>
    </row>
    <row r="135" spans="1:5" ht="12" customHeight="1" x14ac:dyDescent="0.25">
      <c r="A135" s="661"/>
      <c r="B135" s="659"/>
      <c r="C135" s="112" t="str">
        <f>'натур показатели инновации+добр'!C119</f>
        <v>шпилька резьбовая</v>
      </c>
      <c r="D135" s="67" t="str">
        <f>'натур показатели инновации+добр'!D119</f>
        <v>шт</v>
      </c>
      <c r="E135" s="170">
        <f>'патриотика0,31'!D279</f>
        <v>0.62</v>
      </c>
    </row>
    <row r="136" spans="1:5" ht="12" customHeight="1" x14ac:dyDescent="0.25">
      <c r="A136" s="661"/>
      <c r="B136" s="659"/>
      <c r="C136" s="112" t="str">
        <f>'натур показатели инновации+добр'!C120</f>
        <v>сверло</v>
      </c>
      <c r="D136" s="67" t="str">
        <f>'натур показатели инновации+добр'!D120</f>
        <v>шт</v>
      </c>
      <c r="E136" s="170">
        <f>'патриотика0,31'!D280</f>
        <v>0.31</v>
      </c>
    </row>
    <row r="137" spans="1:5" ht="12" customHeight="1" x14ac:dyDescent="0.25">
      <c r="A137" s="661"/>
      <c r="B137" s="659"/>
      <c r="C137" s="112" t="str">
        <f>'натур показатели инновации+добр'!C121</f>
        <v>антифриз</v>
      </c>
      <c r="D137" s="67" t="str">
        <f>'натур показатели инновации+добр'!D121</f>
        <v>шт</v>
      </c>
      <c r="E137" s="170">
        <f>'патриотика0,31'!D281</f>
        <v>0.62</v>
      </c>
    </row>
    <row r="138" spans="1:5" ht="12" customHeight="1" x14ac:dyDescent="0.25">
      <c r="A138" s="661"/>
      <c r="B138" s="659"/>
      <c r="C138" s="112" t="str">
        <f>'натур показатели инновации+добр'!C122</f>
        <v>ледоруб</v>
      </c>
      <c r="D138" s="67" t="str">
        <f>'натур показатели инновации+добр'!D122</f>
        <v>шт</v>
      </c>
      <c r="E138" s="170">
        <f>'патриотика0,31'!D282</f>
        <v>0.31</v>
      </c>
    </row>
    <row r="139" spans="1:5" ht="12" customHeight="1" x14ac:dyDescent="0.25">
      <c r="A139" s="661"/>
      <c r="B139" s="659"/>
      <c r="C139" s="112" t="str">
        <f>'натур показатели инновации+добр'!C123</f>
        <v>труба</v>
      </c>
      <c r="D139" s="67" t="str">
        <f>'натур показатели инновации+добр'!D123</f>
        <v>шт</v>
      </c>
      <c r="E139" s="170">
        <f>'патриотика0,31'!D283</f>
        <v>0.92999999999999994</v>
      </c>
    </row>
    <row r="140" spans="1:5" ht="12" customHeight="1" x14ac:dyDescent="0.25">
      <c r="A140" s="661"/>
      <c r="B140" s="659"/>
      <c r="C140" s="112" t="str">
        <f>'натур показатели инновации+добр'!C124</f>
        <v>кронштейн</v>
      </c>
      <c r="D140" s="67" t="str">
        <f>'натур показатели инновации+добр'!D124</f>
        <v>шт</v>
      </c>
      <c r="E140" s="170">
        <f>'патриотика0,31'!D284</f>
        <v>0.62</v>
      </c>
    </row>
    <row r="141" spans="1:5" ht="12" customHeight="1" x14ac:dyDescent="0.25">
      <c r="A141" s="661"/>
      <c r="B141" s="659"/>
      <c r="C141" s="112" t="str">
        <f>'натур показатели инновации+добр'!C125</f>
        <v>электрод</v>
      </c>
      <c r="D141" s="67" t="str">
        <f>'натур показатели инновации+добр'!D125</f>
        <v>шт</v>
      </c>
      <c r="E141" s="170">
        <f>'патриотика0,31'!D285</f>
        <v>0.31</v>
      </c>
    </row>
    <row r="142" spans="1:5" ht="12" customHeight="1" x14ac:dyDescent="0.25">
      <c r="A142" s="661"/>
      <c r="B142" s="659"/>
      <c r="C142" s="112" t="str">
        <f>'натур показатели инновации+добр'!C126</f>
        <v>круг отрезной</v>
      </c>
      <c r="D142" s="67" t="str">
        <f>'натур показатели инновации+добр'!D126</f>
        <v>шт</v>
      </c>
      <c r="E142" s="170">
        <f>'патриотика0,31'!D286</f>
        <v>3.41</v>
      </c>
    </row>
    <row r="143" spans="1:5" ht="12" customHeight="1" x14ac:dyDescent="0.25">
      <c r="A143" s="661"/>
      <c r="B143" s="659"/>
      <c r="C143" s="112" t="str">
        <f>'натур показатели инновации+добр'!C127</f>
        <v>круг отрезной</v>
      </c>
      <c r="D143" s="67" t="str">
        <f>'натур показатели инновации+добр'!D127</f>
        <v>шт</v>
      </c>
      <c r="E143" s="170">
        <f>'патриотика0,31'!D287</f>
        <v>0.92999999999999994</v>
      </c>
    </row>
    <row r="144" spans="1:5" ht="12" customHeight="1" x14ac:dyDescent="0.25">
      <c r="A144" s="661"/>
      <c r="B144" s="659"/>
      <c r="C144" s="112" t="str">
        <f>'натур показатели инновации+добр'!C128</f>
        <v>круг отрезной</v>
      </c>
      <c r="D144" s="67" t="str">
        <f>'натур показатели инновации+добр'!D128</f>
        <v>шт</v>
      </c>
      <c r="E144" s="170">
        <f>'патриотика0,31'!D288</f>
        <v>0.31</v>
      </c>
    </row>
    <row r="145" spans="1:5" ht="12" customHeight="1" x14ac:dyDescent="0.25">
      <c r="A145" s="661"/>
      <c r="B145" s="659"/>
      <c r="C145" s="112" t="str">
        <f>'натур показатели инновации+добр'!C129</f>
        <v>круг зачистной</v>
      </c>
      <c r="D145" s="67" t="str">
        <f>'натур показатели инновации+добр'!D129</f>
        <v>шт</v>
      </c>
      <c r="E145" s="170">
        <f>'патриотика0,31'!D289</f>
        <v>0.31</v>
      </c>
    </row>
    <row r="146" spans="1:5" ht="12" customHeight="1" x14ac:dyDescent="0.25">
      <c r="A146" s="661"/>
      <c r="B146" s="659"/>
      <c r="C146" s="112" t="str">
        <f>'натур показатели инновации+добр'!C130</f>
        <v>кабель-канал</v>
      </c>
      <c r="D146" s="67" t="str">
        <f>'натур показатели инновации+добр'!D130</f>
        <v>шт</v>
      </c>
      <c r="E146" s="170">
        <f>'патриотика0,31'!D290</f>
        <v>0.31</v>
      </c>
    </row>
    <row r="147" spans="1:5" ht="12" customHeight="1" x14ac:dyDescent="0.25">
      <c r="A147" s="661"/>
      <c r="B147" s="659"/>
      <c r="C147" s="112" t="str">
        <f>'натур показатели инновации+добр'!C131</f>
        <v>саморез</v>
      </c>
      <c r="D147" s="67" t="str">
        <f>'натур показатели инновации+добр'!D131</f>
        <v>шт</v>
      </c>
      <c r="E147" s="170">
        <f>'патриотика0,31'!D291</f>
        <v>15.5</v>
      </c>
    </row>
    <row r="148" spans="1:5" ht="12" customHeight="1" x14ac:dyDescent="0.25">
      <c r="A148" s="661"/>
      <c r="B148" s="659"/>
      <c r="C148" s="112" t="str">
        <f>'натур показатели инновации+добр'!C132</f>
        <v>лопата</v>
      </c>
      <c r="D148" s="67" t="str">
        <f>'натур показатели инновации+добр'!D132</f>
        <v>шт</v>
      </c>
      <c r="E148" s="170">
        <f>'патриотика0,31'!D292</f>
        <v>0.62</v>
      </c>
    </row>
    <row r="149" spans="1:5" ht="12" customHeight="1" x14ac:dyDescent="0.25">
      <c r="A149" s="661"/>
      <c r="B149" s="659"/>
      <c r="C149" s="112" t="str">
        <f>'натур показатели инновации+добр'!C133</f>
        <v>черенок</v>
      </c>
      <c r="D149" s="67" t="str">
        <f>'натур показатели инновации+добр'!D133</f>
        <v>шт</v>
      </c>
      <c r="E149" s="170">
        <f>'патриотика0,31'!D293</f>
        <v>0.62</v>
      </c>
    </row>
    <row r="150" spans="1:5" ht="12" customHeight="1" x14ac:dyDescent="0.25">
      <c r="A150" s="661"/>
      <c r="B150" s="659"/>
      <c r="C150" s="112" t="str">
        <f>'натур показатели инновации+добр'!C134</f>
        <v>домкрат</v>
      </c>
      <c r="D150" s="67" t="str">
        <f>'натур показатели инновации+добр'!D134</f>
        <v>шт</v>
      </c>
      <c r="E150" s="170">
        <f>'патриотика0,31'!D294</f>
        <v>0.31</v>
      </c>
    </row>
    <row r="151" spans="1:5" ht="12" customHeight="1" x14ac:dyDescent="0.25">
      <c r="A151" s="661"/>
      <c r="B151" s="659"/>
      <c r="C151" s="112" t="str">
        <f>'натур показатели инновации+добр'!C135</f>
        <v>стяжка</v>
      </c>
      <c r="D151" s="67" t="str">
        <f>'натур показатели инновации+добр'!D135</f>
        <v>шт</v>
      </c>
      <c r="E151" s="170">
        <f>'патриотика0,31'!D295</f>
        <v>0.31</v>
      </c>
    </row>
    <row r="152" spans="1:5" ht="12" customHeight="1" x14ac:dyDescent="0.25">
      <c r="A152" s="661"/>
      <c r="B152" s="659"/>
      <c r="C152" s="112" t="str">
        <f>'натур показатели инновации+добр'!C136</f>
        <v>смазка</v>
      </c>
      <c r="D152" s="67" t="str">
        <f>'натур показатели инновации+добр'!D136</f>
        <v>шт</v>
      </c>
      <c r="E152" s="170">
        <f>'патриотика0,31'!D296</f>
        <v>0.31</v>
      </c>
    </row>
    <row r="153" spans="1:5" ht="12" customHeight="1" x14ac:dyDescent="0.25">
      <c r="A153" s="661"/>
      <c r="B153" s="659"/>
      <c r="C153" s="112" t="str">
        <f>'натур показатели инновации+добр'!C137</f>
        <v>лопата</v>
      </c>
      <c r="D153" s="67" t="str">
        <f>'натур показатели инновации+добр'!D137</f>
        <v>шт</v>
      </c>
      <c r="E153" s="170">
        <f>'патриотика0,31'!D297</f>
        <v>0.31</v>
      </c>
    </row>
    <row r="154" spans="1:5" ht="12" customHeight="1" x14ac:dyDescent="0.25">
      <c r="A154" s="661"/>
      <c r="B154" s="659"/>
      <c r="C154" s="112" t="str">
        <f>'натур показатели инновации+добр'!C138</f>
        <v>ключи</v>
      </c>
      <c r="D154" s="67" t="str">
        <f>'натур показатели инновации+добр'!D138</f>
        <v>шт</v>
      </c>
      <c r="E154" s="170">
        <f>'патриотика0,31'!D298</f>
        <v>0.31</v>
      </c>
    </row>
    <row r="155" spans="1:5" ht="12" customHeight="1" x14ac:dyDescent="0.25">
      <c r="A155" s="661"/>
      <c r="B155" s="659"/>
      <c r="C155" s="112" t="str">
        <f>'натур показатели инновации+добр'!C139</f>
        <v>болт</v>
      </c>
      <c r="D155" s="67" t="str">
        <f>'натур показатели инновации+добр'!D139</f>
        <v>шт</v>
      </c>
      <c r="E155" s="170">
        <f>'патриотика0,31'!D299</f>
        <v>1.24</v>
      </c>
    </row>
    <row r="156" spans="1:5" ht="12" customHeight="1" x14ac:dyDescent="0.25">
      <c r="A156" s="661"/>
      <c r="B156" s="659"/>
      <c r="C156" s="112" t="str">
        <f>'натур показатели инновации+добр'!C140</f>
        <v>гайка</v>
      </c>
      <c r="D156" s="67" t="str">
        <f>'натур показатели инновации+добр'!D140</f>
        <v>шт</v>
      </c>
      <c r="E156" s="170">
        <f>'патриотика0,31'!D300</f>
        <v>1.24</v>
      </c>
    </row>
    <row r="157" spans="1:5" ht="12" customHeight="1" x14ac:dyDescent="0.25">
      <c r="A157" s="661"/>
      <c r="B157" s="659"/>
      <c r="C157" s="112" t="str">
        <f>'натур показатели инновации+добр'!C141</f>
        <v>эмаль аэрозоль</v>
      </c>
      <c r="D157" s="67" t="str">
        <f>'натур показатели инновации+добр'!D141</f>
        <v>шт</v>
      </c>
      <c r="E157" s="170">
        <f>'патриотика0,31'!D301</f>
        <v>0.92999999999999994</v>
      </c>
    </row>
    <row r="158" spans="1:5" ht="12" customHeight="1" x14ac:dyDescent="0.25">
      <c r="A158" s="661"/>
      <c r="B158" s="659"/>
      <c r="C158" s="112" t="str">
        <f>'натур показатели инновации+добр'!C142</f>
        <v>бумага нажд</v>
      </c>
      <c r="D158" s="67" t="str">
        <f>'натур показатели инновации+добр'!D142</f>
        <v>шт</v>
      </c>
      <c r="E158" s="170">
        <f>'патриотика0,31'!D302</f>
        <v>6.2</v>
      </c>
    </row>
    <row r="159" spans="1:5" ht="12" customHeight="1" x14ac:dyDescent="0.25">
      <c r="A159" s="661"/>
      <c r="B159" s="659"/>
      <c r="C159" s="112" t="str">
        <f>'натур показатели инновации+добр'!C143</f>
        <v>круг отрезной</v>
      </c>
      <c r="D159" s="67" t="str">
        <f>'натур показатели инновации+добр'!D143</f>
        <v>шт</v>
      </c>
      <c r="E159" s="170">
        <f>'патриотика0,31'!D303</f>
        <v>3.1</v>
      </c>
    </row>
    <row r="160" spans="1:5" ht="12" customHeight="1" x14ac:dyDescent="0.25">
      <c r="A160" s="661"/>
      <c r="B160" s="659"/>
      <c r="C160" s="112" t="str">
        <f>'натур показатели инновации+добр'!C144</f>
        <v>герметик</v>
      </c>
      <c r="D160" s="67" t="str">
        <f>'натур показатели инновации+добр'!D144</f>
        <v>шт</v>
      </c>
      <c r="E160" s="170">
        <f>'патриотика0,31'!D304</f>
        <v>0.31</v>
      </c>
    </row>
    <row r="161" spans="1:5" ht="12" customHeight="1" x14ac:dyDescent="0.25">
      <c r="A161" s="661"/>
      <c r="B161" s="659"/>
      <c r="C161" s="112" t="str">
        <f>'натур показатели инновации+добр'!C145</f>
        <v>кенгуру</v>
      </c>
      <c r="D161" s="67" t="str">
        <f>'натур показатели инновации+добр'!D145</f>
        <v>шт</v>
      </c>
      <c r="E161" s="170">
        <f>'патриотика0,31'!D305</f>
        <v>0.62</v>
      </c>
    </row>
    <row r="162" spans="1:5" ht="12" customHeight="1" x14ac:dyDescent="0.25">
      <c r="A162" s="661"/>
      <c r="B162" s="659"/>
      <c r="C162" s="112" t="str">
        <f>'натур показатели инновации+добр'!C146</f>
        <v>цемент 50 кг</v>
      </c>
      <c r="D162" s="67" t="str">
        <f>'натур показатели инновации+добр'!D146</f>
        <v>шт</v>
      </c>
      <c r="E162" s="170">
        <f>'патриотика0,31'!D306</f>
        <v>0.62</v>
      </c>
    </row>
    <row r="163" spans="1:5" ht="12" customHeight="1" x14ac:dyDescent="0.25">
      <c r="A163" s="661"/>
      <c r="B163" s="659"/>
      <c r="C163" s="112" t="str">
        <f>'натур показатели инновации+добр'!C147</f>
        <v>эмаль аэрозоль</v>
      </c>
      <c r="D163" s="67" t="str">
        <f>'натур показатели инновации+добр'!D147</f>
        <v>шт</v>
      </c>
      <c r="E163" s="170">
        <f>'патриотика0,31'!D307</f>
        <v>1.55</v>
      </c>
    </row>
    <row r="164" spans="1:5" ht="12" customHeight="1" x14ac:dyDescent="0.25">
      <c r="A164" s="661"/>
      <c r="B164" s="659"/>
      <c r="C164" s="112" t="str">
        <f>'натур показатели инновации+добр'!C148</f>
        <v>эмаль аэрозоль</v>
      </c>
      <c r="D164" s="67" t="str">
        <f>'натур показатели инновации+добр'!D148</f>
        <v>шт</v>
      </c>
      <c r="E164" s="170">
        <f>'патриотика0,31'!D308</f>
        <v>1.55</v>
      </c>
    </row>
    <row r="165" spans="1:5" ht="12" customHeight="1" x14ac:dyDescent="0.25">
      <c r="A165" s="661"/>
      <c r="B165" s="659"/>
      <c r="C165" s="112" t="str">
        <f>'натур показатели инновации+добр'!C149</f>
        <v>рукав резина</v>
      </c>
      <c r="D165" s="67" t="str">
        <f>'натур показатели инновации+добр'!D149</f>
        <v>шт</v>
      </c>
      <c r="E165" s="170">
        <f>'патриотика0,31'!D309</f>
        <v>1.8599999999999999</v>
      </c>
    </row>
    <row r="166" spans="1:5" ht="12" customHeight="1" x14ac:dyDescent="0.25">
      <c r="A166" s="661"/>
      <c r="B166" s="659"/>
      <c r="C166" s="112" t="str">
        <f>'натур показатели инновации+добр'!C150</f>
        <v>лампа</v>
      </c>
      <c r="D166" s="67" t="str">
        <f>'натур показатели инновации+добр'!D150</f>
        <v>шт</v>
      </c>
      <c r="E166" s="170">
        <f>'патриотика0,31'!D310</f>
        <v>1.55</v>
      </c>
    </row>
    <row r="167" spans="1:5" ht="12" customHeight="1" x14ac:dyDescent="0.25">
      <c r="A167" s="661"/>
      <c r="B167" s="659"/>
      <c r="C167" s="112" t="str">
        <f>'натур показатели инновации+добр'!C151</f>
        <v>лампа энергосберегающая</v>
      </c>
      <c r="D167" s="67" t="str">
        <f>'натур показатели инновации+добр'!D151</f>
        <v>шт</v>
      </c>
      <c r="E167" s="170">
        <f>'патриотика0,31'!D311</f>
        <v>0.31</v>
      </c>
    </row>
    <row r="168" spans="1:5" ht="12" customHeight="1" x14ac:dyDescent="0.25">
      <c r="A168" s="661"/>
      <c r="B168" s="659"/>
      <c r="C168" s="112" t="str">
        <f>'натур показатели инновации+добр'!C152</f>
        <v>антифриз</v>
      </c>
      <c r="D168" s="67" t="str">
        <f>'натур показатели инновации+добр'!D152</f>
        <v>шт</v>
      </c>
      <c r="E168" s="170">
        <f>'патриотика0,31'!D312</f>
        <v>0.31</v>
      </c>
    </row>
    <row r="169" spans="1:5" ht="12" customHeight="1" x14ac:dyDescent="0.25">
      <c r="A169" s="661"/>
      <c r="B169" s="659"/>
      <c r="C169" s="112" t="str">
        <f>'натур показатели инновации+добр'!C153</f>
        <v>коврик автомобильный</v>
      </c>
      <c r="D169" s="67" t="str">
        <f>'натур показатели инновации+добр'!D153</f>
        <v>шт</v>
      </c>
      <c r="E169" s="170">
        <f>'патриотика0,31'!D313</f>
        <v>0.31</v>
      </c>
    </row>
    <row r="170" spans="1:5" ht="12" customHeight="1" x14ac:dyDescent="0.25">
      <c r="A170" s="661"/>
      <c r="B170" s="659"/>
      <c r="C170" s="112" t="str">
        <f>'натур показатели инновации+добр'!C154</f>
        <v>краска акрил</v>
      </c>
      <c r="D170" s="67" t="str">
        <f>'натур показатели инновации+добр'!D154</f>
        <v>шт</v>
      </c>
      <c r="E170" s="170">
        <f>'патриотика0,31'!D314</f>
        <v>0.92999999999999994</v>
      </c>
    </row>
    <row r="171" spans="1:5" ht="12" customHeight="1" x14ac:dyDescent="0.25">
      <c r="A171" s="661"/>
      <c r="B171" s="659"/>
      <c r="C171" s="112" t="str">
        <f>'натур показатели инновации+добр'!C155</f>
        <v>валик</v>
      </c>
      <c r="D171" s="67" t="str">
        <f>'натур показатели инновации+добр'!D155</f>
        <v>шт</v>
      </c>
      <c r="E171" s="170">
        <f>'патриотика0,31'!D315</f>
        <v>1.24</v>
      </c>
    </row>
    <row r="172" spans="1:5" ht="12" customHeight="1" x14ac:dyDescent="0.25">
      <c r="A172" s="661"/>
      <c r="B172" s="659"/>
      <c r="C172" s="112" t="str">
        <f>'натур показатели инновации+добр'!C156</f>
        <v>скотч маляр</v>
      </c>
      <c r="D172" s="67" t="str">
        <f>'натур показатели инновации+добр'!D156</f>
        <v>шт</v>
      </c>
      <c r="E172" s="170">
        <f>'патриотика0,31'!D316</f>
        <v>1.55</v>
      </c>
    </row>
    <row r="173" spans="1:5" x14ac:dyDescent="0.25">
      <c r="A173" s="661"/>
      <c r="B173" s="659"/>
      <c r="C173" s="112" t="str">
        <f>'натур показатели инновации+добр'!C157</f>
        <v xml:space="preserve">колер </v>
      </c>
      <c r="D173" s="67" t="str">
        <f>'натур показатели инновации+добр'!D157</f>
        <v>шт</v>
      </c>
      <c r="E173" s="170">
        <f>'патриотика0,31'!D317</f>
        <v>1.55</v>
      </c>
    </row>
    <row r="174" spans="1:5" x14ac:dyDescent="0.25">
      <c r="A174" s="661"/>
      <c r="B174" s="659"/>
      <c r="C174" s="112" t="str">
        <f>'натур показатели инновации+добр'!C158</f>
        <v>скотч маляр</v>
      </c>
      <c r="D174" s="67" t="str">
        <f>'натур показатели инновации+добр'!D158</f>
        <v>шт</v>
      </c>
      <c r="E174" s="170">
        <f>'патриотика0,31'!D318</f>
        <v>3.41</v>
      </c>
    </row>
    <row r="175" spans="1:5" x14ac:dyDescent="0.25">
      <c r="A175" s="661"/>
      <c r="B175" s="659"/>
      <c r="C175" s="112" t="str">
        <f>'натур показатели инновации+добр'!C159</f>
        <v>паста колеровочная</v>
      </c>
      <c r="D175" s="67" t="str">
        <f>'натур показатели инновации+добр'!D159</f>
        <v>шт</v>
      </c>
      <c r="E175" s="170">
        <f>'патриотика0,31'!D319</f>
        <v>3.1</v>
      </c>
    </row>
    <row r="176" spans="1:5" x14ac:dyDescent="0.25">
      <c r="A176" s="661"/>
      <c r="B176" s="659"/>
      <c r="C176" s="112" t="str">
        <f>'натур показатели инновации+добр'!C160</f>
        <v>колер</v>
      </c>
      <c r="D176" s="67" t="str">
        <f>'натур показатели инновации+добр'!D160</f>
        <v>шт</v>
      </c>
      <c r="E176" s="170">
        <f>'патриотика0,31'!D320</f>
        <v>2.48</v>
      </c>
    </row>
    <row r="177" spans="1:5" x14ac:dyDescent="0.25">
      <c r="A177" s="661"/>
      <c r="B177" s="659"/>
      <c r="C177" s="112" t="str">
        <f>'натур показатели инновации+добр'!C161</f>
        <v>краска акрил</v>
      </c>
      <c r="D177" s="67" t="str">
        <f>'натур показатели инновации+добр'!D161</f>
        <v>шт</v>
      </c>
      <c r="E177" s="170">
        <f>'патриотика0,31'!D321</f>
        <v>0.31</v>
      </c>
    </row>
    <row r="178" spans="1:5" x14ac:dyDescent="0.25">
      <c r="A178" s="661"/>
      <c r="B178" s="659"/>
      <c r="C178" s="112" t="str">
        <f>'натур показатели инновации+добр'!C162</f>
        <v>насадка на валик</v>
      </c>
      <c r="D178" s="67" t="str">
        <f>'натур показатели инновации+добр'!D162</f>
        <v>шт</v>
      </c>
      <c r="E178" s="170">
        <f>'патриотика0,31'!D322</f>
        <v>1.24</v>
      </c>
    </row>
    <row r="179" spans="1:5" x14ac:dyDescent="0.25">
      <c r="A179" s="661"/>
      <c r="B179" s="659"/>
      <c r="C179" s="112" t="str">
        <f>'натур показатели инновации+добр'!C163</f>
        <v>HDMI кабель 5м</v>
      </c>
      <c r="D179" s="67" t="str">
        <f>'натур показатели инновации+добр'!D163</f>
        <v>шт</v>
      </c>
      <c r="E179" s="170">
        <f>'патриотика0,31'!D323</f>
        <v>0.31</v>
      </c>
    </row>
    <row r="180" spans="1:5" x14ac:dyDescent="0.25">
      <c r="A180" s="661"/>
      <c r="B180" s="659"/>
      <c r="C180" s="112" t="str">
        <f>'натур показатели инновации+добр'!C164</f>
        <v>HDMI кабель 10м</v>
      </c>
      <c r="D180" s="67" t="str">
        <f>'натур показатели инновации+добр'!D164</f>
        <v>шт</v>
      </c>
      <c r="E180" s="170">
        <f>'патриотика0,31'!D324</f>
        <v>0.31</v>
      </c>
    </row>
    <row r="181" spans="1:5" x14ac:dyDescent="0.25">
      <c r="A181" s="661"/>
      <c r="B181" s="659"/>
      <c r="C181" s="112" t="str">
        <f>'натур показатели инновации+добр'!C165</f>
        <v>сумка для ноутбука</v>
      </c>
      <c r="D181" s="67" t="str">
        <f>'натур показатели инновации+добр'!D165</f>
        <v>шт</v>
      </c>
      <c r="E181" s="170">
        <f>'патриотика0,31'!D325</f>
        <v>0.92999999999999994</v>
      </c>
    </row>
    <row r="182" spans="1:5" x14ac:dyDescent="0.25">
      <c r="A182" s="661"/>
      <c r="B182" s="659"/>
      <c r="C182" s="112" t="str">
        <f>'натур показатели инновации+добр'!C166</f>
        <v>флеш карта</v>
      </c>
      <c r="D182" s="67" t="str">
        <f>'натур показатели инновации+добр'!D166</f>
        <v>шт</v>
      </c>
      <c r="E182" s="170">
        <f>'патриотика0,31'!D326</f>
        <v>1.8599999999999999</v>
      </c>
    </row>
    <row r="183" spans="1:5" x14ac:dyDescent="0.25">
      <c r="A183" s="661"/>
      <c r="B183" s="659"/>
      <c r="C183" s="112" t="str">
        <f>'натур показатели инновации+добр'!C167</f>
        <v>кулер для процессора</v>
      </c>
      <c r="D183" s="67" t="str">
        <f>'натур показатели инновации+добр'!D167</f>
        <v>шт</v>
      </c>
      <c r="E183" s="170">
        <f>'патриотика0,31'!D327</f>
        <v>0.31</v>
      </c>
    </row>
    <row r="184" spans="1:5" x14ac:dyDescent="0.25">
      <c r="A184" s="661"/>
      <c r="B184" s="659"/>
      <c r="C184" s="112" t="str">
        <f>'натур показатели инновации+добр'!C168</f>
        <v>блок питания</v>
      </c>
      <c r="D184" s="67" t="str">
        <f>'натур показатели инновации+добр'!D168</f>
        <v>шт</v>
      </c>
      <c r="E184" s="170">
        <f>'патриотика0,31'!D328</f>
        <v>0.31</v>
      </c>
    </row>
    <row r="185" spans="1:5" ht="22.5" customHeight="1" x14ac:dyDescent="0.25">
      <c r="A185" s="661"/>
      <c r="B185" s="659"/>
      <c r="C185" s="112" t="str">
        <f>'натур показатели инновации+добр'!C169</f>
        <v>клавиатура</v>
      </c>
      <c r="D185" s="67" t="str">
        <f>'натур показатели инновации+добр'!D169</f>
        <v>шт</v>
      </c>
      <c r="E185" s="170">
        <f>'патриотика0,31'!D329</f>
        <v>0.92999999999999994</v>
      </c>
    </row>
    <row r="186" spans="1:5" x14ac:dyDescent="0.25">
      <c r="A186" s="661"/>
      <c r="B186" s="659"/>
      <c r="C186" s="112" t="str">
        <f>'натур показатели инновации+добр'!C170</f>
        <v>снеговая лопата</v>
      </c>
      <c r="D186" s="67" t="str">
        <f>'натур показатели инновации+добр'!D170</f>
        <v>шт</v>
      </c>
      <c r="E186" s="170">
        <f>'патриотика0,31'!D330</f>
        <v>0.31</v>
      </c>
    </row>
    <row r="187" spans="1:5" x14ac:dyDescent="0.25">
      <c r="A187" s="661"/>
      <c r="B187" s="659"/>
      <c r="C187" s="112" t="str">
        <f>'натур показатели инновации+добр'!C171</f>
        <v>уголок</v>
      </c>
      <c r="D187" s="67" t="str">
        <f>'натур показатели инновации+добр'!D171</f>
        <v>шт</v>
      </c>
      <c r="E187" s="170">
        <f>'патриотика0,31'!D331</f>
        <v>6.2</v>
      </c>
    </row>
    <row r="188" spans="1:5" x14ac:dyDescent="0.25">
      <c r="A188" s="661"/>
      <c r="B188" s="659"/>
      <c r="C188" s="112" t="str">
        <f>'натур показатели инновации+добр'!C172</f>
        <v>перчатки</v>
      </c>
      <c r="D188" s="67" t="str">
        <f>'натур показатели инновации+добр'!D172</f>
        <v>шт</v>
      </c>
      <c r="E188" s="170">
        <f>'патриотика0,31'!D332</f>
        <v>0.31</v>
      </c>
    </row>
    <row r="189" spans="1:5" x14ac:dyDescent="0.25">
      <c r="A189" s="661"/>
      <c r="B189" s="659"/>
      <c r="C189" s="112" t="str">
        <f>'натур показатели инновации+добр'!C173</f>
        <v>шпатель</v>
      </c>
      <c r="D189" s="67" t="str">
        <f>'натур показатели инновации+добр'!D173</f>
        <v>шт</v>
      </c>
      <c r="E189" s="170">
        <f>'патриотика0,31'!D333</f>
        <v>0.31</v>
      </c>
    </row>
    <row r="190" spans="1:5" x14ac:dyDescent="0.25">
      <c r="A190" s="661"/>
      <c r="B190" s="659"/>
      <c r="C190" s="112" t="str">
        <f>'натур показатели инновации+добр'!C174</f>
        <v>шпатлевка</v>
      </c>
      <c r="D190" s="67" t="str">
        <f>'натур показатели инновации+добр'!D174</f>
        <v>шт</v>
      </c>
      <c r="E190" s="170">
        <f>'патриотика0,31'!D334</f>
        <v>0.31</v>
      </c>
    </row>
    <row r="191" spans="1:5" x14ac:dyDescent="0.25">
      <c r="A191" s="661"/>
      <c r="B191" s="659"/>
      <c r="C191" s="112" t="str">
        <f>'натур показатели инновации+добр'!C175</f>
        <v>алебастр</v>
      </c>
      <c r="D191" s="67" t="str">
        <f>'натур показатели инновации+добр'!D175</f>
        <v>шт</v>
      </c>
      <c r="E191" s="170">
        <f>'патриотика0,31'!D335</f>
        <v>0.31</v>
      </c>
    </row>
    <row r="192" spans="1:5" ht="22.5" customHeight="1" x14ac:dyDescent="0.25">
      <c r="A192" s="661"/>
      <c r="B192" s="659"/>
      <c r="C192" s="112" t="str">
        <f>'натур показатели инновации+добр'!C176</f>
        <v>кран шаровый</v>
      </c>
      <c r="D192" s="67" t="str">
        <f>'натур показатели инновации+добр'!D176</f>
        <v>шт</v>
      </c>
      <c r="E192" s="170">
        <f>'патриотика0,31'!D336</f>
        <v>1.8599999999999999</v>
      </c>
    </row>
    <row r="193" spans="1:5" x14ac:dyDescent="0.25">
      <c r="A193" s="661"/>
      <c r="B193" s="659"/>
      <c r="C193" s="112" t="str">
        <f>'натур показатели инновации+добр'!C177</f>
        <v>мешок зеленый</v>
      </c>
      <c r="D193" s="67" t="str">
        <f>'натур показатели инновации+добр'!D177</f>
        <v>шт</v>
      </c>
      <c r="E193" s="170">
        <f>'патриотика0,31'!D337</f>
        <v>15.5</v>
      </c>
    </row>
    <row r="194" spans="1:5" x14ac:dyDescent="0.25">
      <c r="A194" s="661"/>
      <c r="B194" s="659"/>
      <c r="C194" s="112" t="str">
        <f>'натур показатели инновации+добр'!C178</f>
        <v>настольная игра "тараканьи бега"</v>
      </c>
      <c r="D194" s="67" t="str">
        <f>'натур показатели инновации+добр'!D178</f>
        <v>шт</v>
      </c>
      <c r="E194" s="170">
        <f>'патриотика0,31'!D338</f>
        <v>0.31</v>
      </c>
    </row>
    <row r="195" spans="1:5" x14ac:dyDescent="0.25">
      <c r="A195" s="661"/>
      <c r="B195" s="659"/>
      <c r="C195" s="112" t="str">
        <f>'натур показатели инновации+добр'!C179</f>
        <v>настольная игра "Свинтус"</v>
      </c>
      <c r="D195" s="67" t="str">
        <f>'натур показатели инновации+добр'!D179</f>
        <v>шт</v>
      </c>
      <c r="E195" s="170">
        <f>'патриотика0,31'!D339</f>
        <v>0.31</v>
      </c>
    </row>
    <row r="196" spans="1:5" x14ac:dyDescent="0.25">
      <c r="A196" s="661"/>
      <c r="B196" s="659"/>
      <c r="C196" s="112" t="str">
        <f>'натур показатели инновации+добр'!C180</f>
        <v>настольная игра "мафия"</v>
      </c>
      <c r="D196" s="67" t="str">
        <f>'натур показатели инновации+добр'!D180</f>
        <v>шт</v>
      </c>
      <c r="E196" s="170">
        <f>'патриотика0,31'!D340</f>
        <v>0.31</v>
      </c>
    </row>
    <row r="197" spans="1:5" x14ac:dyDescent="0.25">
      <c r="A197" s="661"/>
      <c r="B197" s="659"/>
      <c r="C197" s="112" t="str">
        <f>'натур показатели инновации+добр'!C181</f>
        <v>мыло жидкое</v>
      </c>
      <c r="D197" s="67" t="str">
        <f>'натур показатели инновации+добр'!D181</f>
        <v>шт</v>
      </c>
      <c r="E197" s="170">
        <f>'патриотика0,31'!D341</f>
        <v>0.92999999999999994</v>
      </c>
    </row>
    <row r="198" spans="1:5" x14ac:dyDescent="0.25">
      <c r="A198" s="661"/>
      <c r="B198" s="659"/>
      <c r="C198" s="112" t="str">
        <f>'натур показатели инновации+добр'!C182</f>
        <v>насадка на швабру</v>
      </c>
      <c r="D198" s="67" t="str">
        <f>'натур показатели инновации+добр'!D182</f>
        <v>шт</v>
      </c>
      <c r="E198" s="170">
        <f>'патриотика0,31'!D342</f>
        <v>3.1</v>
      </c>
    </row>
    <row r="199" spans="1:5" x14ac:dyDescent="0.25">
      <c r="A199" s="661"/>
      <c r="B199" s="659"/>
      <c r="C199" s="112" t="str">
        <f>'натур показатели инновации+добр'!C183</f>
        <v>ведро пластик</v>
      </c>
      <c r="D199" s="67" t="str">
        <f>'натур показатели инновации+добр'!D183</f>
        <v>шт</v>
      </c>
      <c r="E199" s="170">
        <f>'патриотика0,31'!D343</f>
        <v>0.62</v>
      </c>
    </row>
    <row r="200" spans="1:5" x14ac:dyDescent="0.25">
      <c r="A200" s="661"/>
      <c r="B200" s="659"/>
      <c r="C200" s="112" t="str">
        <f>'натур показатели инновации+добр'!C184</f>
        <v>туал бумага</v>
      </c>
      <c r="D200" s="67" t="str">
        <f>'натур показатели инновации+добр'!D184</f>
        <v>шт</v>
      </c>
      <c r="E200" s="170">
        <f>'патриотика0,31'!D344</f>
        <v>15.5</v>
      </c>
    </row>
    <row r="201" spans="1:5" ht="22.5" customHeight="1" x14ac:dyDescent="0.25">
      <c r="A201" s="661"/>
      <c r="B201" s="659"/>
      <c r="C201" s="112" t="str">
        <f>'натур показатели инновации+добр'!C185</f>
        <v>кнопки силовые</v>
      </c>
      <c r="D201" s="67" t="str">
        <f>'натур показатели инновации+добр'!D185</f>
        <v>шт</v>
      </c>
      <c r="E201" s="170">
        <f>'патриотика0,31'!D345</f>
        <v>24.8</v>
      </c>
    </row>
    <row r="202" spans="1:5" x14ac:dyDescent="0.25">
      <c r="A202" s="661"/>
      <c r="B202" s="659"/>
      <c r="C202" s="112" t="str">
        <f>'натур показатели инновации+добр'!C186</f>
        <v>канц нож</v>
      </c>
      <c r="D202" s="67" t="str">
        <f>'натур показатели инновации+добр'!D186</f>
        <v>шт</v>
      </c>
      <c r="E202" s="170">
        <f>'патриотика0,31'!D346</f>
        <v>3.1</v>
      </c>
    </row>
    <row r="203" spans="1:5" x14ac:dyDescent="0.25">
      <c r="A203" s="661"/>
      <c r="B203" s="659"/>
      <c r="C203" s="112" t="str">
        <f>'натур показатели инновации+добр'!C187</f>
        <v>нож для хобби</v>
      </c>
      <c r="D203" s="67" t="str">
        <f>'натур показатели инновации+добр'!D187</f>
        <v>шт</v>
      </c>
      <c r="E203" s="170">
        <f>'патриотика0,31'!D347</f>
        <v>1.55</v>
      </c>
    </row>
    <row r="204" spans="1:5" x14ac:dyDescent="0.25">
      <c r="A204" s="661"/>
      <c r="B204" s="659"/>
      <c r="C204" s="112" t="str">
        <f>'натур показатели инновации+добр'!C188</f>
        <v>магниты для доски (уп 9 шт)</v>
      </c>
      <c r="D204" s="67" t="str">
        <f>'натур показатели инновации+добр'!D188</f>
        <v>шт</v>
      </c>
      <c r="E204" s="170">
        <f>'патриотика0,31'!D348</f>
        <v>1.55</v>
      </c>
    </row>
    <row r="205" spans="1:5" x14ac:dyDescent="0.25">
      <c r="A205" s="661"/>
      <c r="B205" s="659"/>
      <c r="C205" s="112" t="str">
        <f>'натур показатели инновации+добр'!C189</f>
        <v>ежедневник</v>
      </c>
      <c r="D205" s="67" t="str">
        <f>'натур показатели инновации+добр'!D189</f>
        <v>шт</v>
      </c>
      <c r="E205" s="170">
        <f>'патриотика0,31'!D349</f>
        <v>1.55</v>
      </c>
    </row>
    <row r="206" spans="1:5" x14ac:dyDescent="0.25">
      <c r="A206" s="661"/>
      <c r="B206" s="659"/>
      <c r="C206" s="112" t="str">
        <f>'натур показатели инновации+добр'!C190</f>
        <v>ср-во для стекол</v>
      </c>
      <c r="D206" s="67" t="str">
        <f>'натур показатели инновации+добр'!D190</f>
        <v>шт</v>
      </c>
      <c r="E206" s="170">
        <f>'патриотика0,31'!D350</f>
        <v>0.62</v>
      </c>
    </row>
    <row r="207" spans="1:5" x14ac:dyDescent="0.25">
      <c r="A207" s="661"/>
      <c r="B207" s="659"/>
      <c r="C207" s="112" t="str">
        <f>'натур показатели инновации+добр'!C191</f>
        <v>пемолюкс</v>
      </c>
      <c r="D207" s="67" t="str">
        <f>'натур показатели инновации+добр'!D191</f>
        <v>шт</v>
      </c>
      <c r="E207" s="170">
        <f>'патриотика0,31'!D351</f>
        <v>3.1</v>
      </c>
    </row>
    <row r="208" spans="1:5" x14ac:dyDescent="0.25">
      <c r="A208" s="661"/>
      <c r="B208" s="659"/>
      <c r="C208" s="112" t="str">
        <f>'натур показатели инновации+добр'!C192</f>
        <v>доместос</v>
      </c>
      <c r="D208" s="67" t="str">
        <f>'натур показатели инновации+добр'!D192</f>
        <v>шт</v>
      </c>
      <c r="E208" s="170">
        <f>'патриотика0,31'!D352</f>
        <v>1.24</v>
      </c>
    </row>
    <row r="209" spans="1:5" x14ac:dyDescent="0.25">
      <c r="A209" s="661"/>
      <c r="B209" s="659"/>
      <c r="C209" s="112" t="str">
        <f>'натур показатели инновации+добр'!C193</f>
        <v>маркер</v>
      </c>
      <c r="D209" s="67" t="str">
        <f>'натур показатели инновации+добр'!D193</f>
        <v>шт</v>
      </c>
      <c r="E209" s="170">
        <f>'патриотика0,31'!D353</f>
        <v>9.3000000000000007</v>
      </c>
    </row>
    <row r="210" spans="1:5" x14ac:dyDescent="0.25">
      <c r="A210" s="661"/>
      <c r="B210" s="659"/>
      <c r="C210" s="112" t="str">
        <f>'натур показатели инновации+добр'!C194</f>
        <v>тал блок освеж</v>
      </c>
      <c r="D210" s="67" t="str">
        <f>'натур показатели инновации+добр'!D194</f>
        <v>шт</v>
      </c>
      <c r="E210" s="170">
        <f>'патриотика0,31'!D354</f>
        <v>3.1</v>
      </c>
    </row>
    <row r="211" spans="1:5" x14ac:dyDescent="0.25">
      <c r="A211" s="661"/>
      <c r="B211" s="659"/>
      <c r="C211" s="112" t="str">
        <f>'натур показатели инновации+добр'!C195</f>
        <v>футболка-поло белая с логотипом, мужская</v>
      </c>
      <c r="D211" s="67" t="str">
        <f>'натур показатели инновации+добр'!D195</f>
        <v>шт</v>
      </c>
      <c r="E211" s="170">
        <f>'патриотика0,31'!D355</f>
        <v>1.24</v>
      </c>
    </row>
    <row r="212" spans="1:5" x14ac:dyDescent="0.25">
      <c r="A212" s="661"/>
      <c r="B212" s="659"/>
      <c r="C212" s="112" t="str">
        <f>'натур показатели инновации+добр'!C196</f>
        <v>футболка-поло белая с логотипом, женская</v>
      </c>
      <c r="D212" s="67" t="str">
        <f>'натур показатели инновации+добр'!D196</f>
        <v>шт</v>
      </c>
      <c r="E212" s="170">
        <f>'патриотика0,31'!D356</f>
        <v>2.79</v>
      </c>
    </row>
    <row r="213" spans="1:5" x14ac:dyDescent="0.25">
      <c r="A213" s="661"/>
      <c r="B213" s="659"/>
      <c r="C213" s="112" t="str">
        <f>'натур показатели инновации+добр'!C197</f>
        <v>радиатор медный</v>
      </c>
      <c r="D213" s="67" t="str">
        <f>'натур показатели инновации+добр'!D197</f>
        <v>шт</v>
      </c>
      <c r="E213" s="170">
        <f>'патриотика0,31'!D357</f>
        <v>0.31</v>
      </c>
    </row>
    <row r="214" spans="1:5" x14ac:dyDescent="0.25">
      <c r="A214" s="661"/>
      <c r="B214" s="659"/>
      <c r="C214" s="112" t="str">
        <f>'натур показатели инновации+добр'!C198</f>
        <v>гидротолкатель клапана</v>
      </c>
      <c r="D214" s="67" t="str">
        <f>'натур показатели инновации+добр'!D198</f>
        <v>шт</v>
      </c>
      <c r="E214" s="170">
        <f>'патриотика0,31'!D358</f>
        <v>0.62</v>
      </c>
    </row>
    <row r="215" spans="1:5" x14ac:dyDescent="0.25">
      <c r="A215" s="661"/>
      <c r="B215" s="659"/>
      <c r="C215" s="112" t="str">
        <f>'натур показатели инновации+добр'!C199</f>
        <v>маслосъемные колпачки (16 шт)</v>
      </c>
      <c r="D215" s="67" t="str">
        <f>'натур показатели инновации+добр'!D199</f>
        <v>шт</v>
      </c>
      <c r="E215" s="170">
        <f>'патриотика0,31'!D359</f>
        <v>0.31</v>
      </c>
    </row>
    <row r="216" spans="1:5" x14ac:dyDescent="0.25">
      <c r="A216" s="661"/>
      <c r="B216" s="659"/>
      <c r="C216" s="112" t="str">
        <f>'натур показатели инновации+добр'!C200</f>
        <v>к-т ГРМ (полный)</v>
      </c>
      <c r="D216" s="67" t="str">
        <f>'натур показатели инновации+добр'!D200</f>
        <v>шт</v>
      </c>
      <c r="E216" s="170">
        <f>'патриотика0,31'!D360</f>
        <v>0.31</v>
      </c>
    </row>
    <row r="217" spans="1:5" x14ac:dyDescent="0.25">
      <c r="A217" s="661"/>
      <c r="B217" s="659"/>
      <c r="C217" s="112" t="str">
        <f>'натур показатели инновации+добр'!C201</f>
        <v>фланец упорный распредвала</v>
      </c>
      <c r="D217" s="67" t="str">
        <f>'натур показатели инновации+добр'!D201</f>
        <v>шт</v>
      </c>
      <c r="E217" s="170">
        <f>'патриотика0,31'!D361</f>
        <v>0.62</v>
      </c>
    </row>
    <row r="218" spans="1:5" x14ac:dyDescent="0.25">
      <c r="A218" s="661"/>
      <c r="B218" s="659"/>
      <c r="C218" s="112" t="str">
        <f>'натур показатели инновации+добр'!C202</f>
        <v>гидронатяжитель цепи</v>
      </c>
      <c r="D218" s="67" t="str">
        <f>'натур показатели инновации+добр'!D202</f>
        <v>шт</v>
      </c>
      <c r="E218" s="170">
        <f>'патриотика0,31'!D362</f>
        <v>0.62</v>
      </c>
    </row>
    <row r="219" spans="1:5" x14ac:dyDescent="0.25">
      <c r="A219" s="661"/>
      <c r="B219" s="659"/>
      <c r="C219" s="112" t="str">
        <f>'натур показатели инновации+добр'!C203</f>
        <v>прокладка головки блока</v>
      </c>
      <c r="D219" s="67" t="str">
        <f>'натур показатели инновации+добр'!D203</f>
        <v>шт</v>
      </c>
      <c r="E219" s="170">
        <f>'патриотика0,31'!D363</f>
        <v>0.31</v>
      </c>
    </row>
    <row r="220" spans="1:5" x14ac:dyDescent="0.25">
      <c r="A220" s="661"/>
      <c r="B220" s="659"/>
      <c r="C220" s="112" t="str">
        <f>'натур показатели инновации+добр'!C204</f>
        <v>к-т прокладок на дв.4091</v>
      </c>
      <c r="D220" s="67" t="str">
        <f>'натур показатели инновации+добр'!D204</f>
        <v>шт</v>
      </c>
      <c r="E220" s="170">
        <f>'патриотика0,31'!D364</f>
        <v>0.31</v>
      </c>
    </row>
    <row r="221" spans="1:5" x14ac:dyDescent="0.25">
      <c r="A221" s="661"/>
      <c r="B221" s="659"/>
      <c r="C221" s="112" t="str">
        <f>'натур показатели инновации+добр'!C205</f>
        <v>dextron iv</v>
      </c>
      <c r="D221" s="67" t="str">
        <f>'натур показатели инновации+добр'!D205</f>
        <v>шт</v>
      </c>
      <c r="E221" s="170">
        <f>'патриотика0,31'!D365</f>
        <v>0.31</v>
      </c>
    </row>
    <row r="222" spans="1:5" ht="22.5" x14ac:dyDescent="0.25">
      <c r="A222" s="661"/>
      <c r="B222" s="659"/>
      <c r="C222" s="112" t="str">
        <f>'натур показатели инновации+добр'!C206</f>
        <v>смазка (шрус)</v>
      </c>
      <c r="D222" s="67" t="str">
        <f>'натур показатели инновации+добр'!D206</f>
        <v>шт</v>
      </c>
      <c r="E222" s="170">
        <f>'патриотика0,31'!D366</f>
        <v>1.55</v>
      </c>
    </row>
    <row r="223" spans="1:5" x14ac:dyDescent="0.25">
      <c r="A223" s="661"/>
      <c r="B223" s="659"/>
      <c r="C223" s="112" t="str">
        <f>'натур показатели инновации+добр'!C207</f>
        <v>смазка литол-24</v>
      </c>
      <c r="D223" s="67" t="str">
        <f>'натур показатели инновации+добр'!D207</f>
        <v>шт</v>
      </c>
      <c r="E223" s="170">
        <f>'патриотика0,31'!D367</f>
        <v>1.24</v>
      </c>
    </row>
    <row r="224" spans="1:5" x14ac:dyDescent="0.25">
      <c r="A224" s="661"/>
      <c r="B224" s="659"/>
      <c r="C224" s="112" t="str">
        <f>'натур показатели инновации+добр'!C208</f>
        <v>тормозная жидкость (0,910 кг)</v>
      </c>
      <c r="D224" s="67" t="str">
        <f>'натур показатели инновации+добр'!D208</f>
        <v>шт</v>
      </c>
      <c r="E224" s="170">
        <f>'патриотика0,31'!D368</f>
        <v>0.62</v>
      </c>
    </row>
    <row r="225" spans="1:5" x14ac:dyDescent="0.25">
      <c r="A225" s="661"/>
      <c r="B225" s="659"/>
      <c r="C225" s="112" t="str">
        <f>'натур показатели инновации+добр'!C209</f>
        <v>шайба, гайка,сверло</v>
      </c>
      <c r="D225" s="67" t="str">
        <f>'натур показатели инновации+добр'!D209</f>
        <v>шт</v>
      </c>
      <c r="E225" s="170">
        <f>'патриотика0,31'!D369</f>
        <v>0.31</v>
      </c>
    </row>
    <row r="226" spans="1:5" x14ac:dyDescent="0.25">
      <c r="A226" s="661"/>
      <c r="B226" s="659"/>
      <c r="C226" s="112" t="str">
        <f>'натур показатели инновации+добр'!C210</f>
        <v>саморез</v>
      </c>
      <c r="D226" s="67" t="str">
        <f>'натур показатели инновации+добр'!D210</f>
        <v>шт</v>
      </c>
      <c r="E226" s="170">
        <f>'патриотика0,31'!D370</f>
        <v>9.3000000000000007</v>
      </c>
    </row>
    <row r="227" spans="1:5" x14ac:dyDescent="0.25">
      <c r="A227" s="661"/>
      <c r="B227" s="659"/>
      <c r="C227" s="112" t="str">
        <f>'натур показатели инновации+добр'!C211</f>
        <v>брелок</v>
      </c>
      <c r="D227" s="67" t="str">
        <f>'натур показатели инновации+добр'!D211</f>
        <v>шт</v>
      </c>
      <c r="E227" s="170">
        <f>'патриотика0,31'!D371</f>
        <v>6.2</v>
      </c>
    </row>
    <row r="228" spans="1:5" ht="33.75" customHeight="1" x14ac:dyDescent="0.25">
      <c r="A228" s="661"/>
      <c r="B228" s="659"/>
      <c r="C228" s="112" t="str">
        <f>'натур показатели инновации+добр'!C212</f>
        <v>Тарелка опорная ЗУБР "МАСТЕР" пластиковая для УШМ под круг на липучке, d 125 мм, М14</v>
      </c>
      <c r="D228" s="67" t="str">
        <f>'натур показатели инновации+добр'!D212</f>
        <v>шт</v>
      </c>
      <c r="E228" s="170">
        <f>'патриотика0,31'!D372</f>
        <v>0.62</v>
      </c>
    </row>
    <row r="229" spans="1:5" x14ac:dyDescent="0.25">
      <c r="A229" s="661"/>
      <c r="B229" s="659"/>
      <c r="C229" s="112" t="str">
        <f>'натур показатели инновации+добр'!C213</f>
        <v>Круг шлифовальный ЗУБР "МАСТЕР"  универс., из абразивной бумаги на велкро основе, б/отверстий, Р320</v>
      </c>
      <c r="D229" s="67" t="str">
        <f>'натур показатели инновации+добр'!D213</f>
        <v>шт</v>
      </c>
      <c r="E229" s="170">
        <f>'патриотика0,31'!D373</f>
        <v>0.62</v>
      </c>
    </row>
    <row r="230" spans="1:5" x14ac:dyDescent="0.25">
      <c r="A230" s="661"/>
      <c r="B230" s="659"/>
      <c r="C230" s="112" t="str">
        <f>'натур показатели инновации+добр'!C214</f>
        <v>Круг шлифовальный ЗУБР "МАСТЕР"  универс., из абразивной бумаги на велкро основе, б/отверстий, Р180</v>
      </c>
      <c r="D230" s="67" t="str">
        <f>'натур показатели инновации+добр'!D214</f>
        <v>шт</v>
      </c>
      <c r="E230" s="170">
        <f>'патриотика0,31'!D374</f>
        <v>0.62</v>
      </c>
    </row>
    <row r="231" spans="1:5" x14ac:dyDescent="0.25">
      <c r="A231" s="661"/>
      <c r="B231" s="659"/>
      <c r="C231" s="112" t="str">
        <f>'натур показатели инновации+добр'!C215</f>
        <v>Аптечка нового образца "Мицар" 17,5x15x7см ПЛАСТИК</v>
      </c>
      <c r="D231" s="67" t="str">
        <f>'натур показатели инновации+добр'!D215</f>
        <v>шт</v>
      </c>
      <c r="E231" s="170">
        <f>'патриотика0,31'!D375</f>
        <v>0.62</v>
      </c>
    </row>
    <row r="232" spans="1:5" x14ac:dyDescent="0.25">
      <c r="A232" s="661"/>
      <c r="B232" s="659"/>
      <c r="C232" s="112" t="str">
        <f>'натур показатели инновации+добр'!C216</f>
        <v>Саморез по гипсокартону, дереву, ДСП черный фосфат 3,5х45 (2000шт.)</v>
      </c>
      <c r="D232" s="67" t="str">
        <f>'натур показатели инновации+добр'!D216</f>
        <v>шт</v>
      </c>
      <c r="E232" s="170">
        <f>'патриотика0,31'!D376</f>
        <v>279</v>
      </c>
    </row>
    <row r="233" spans="1:5" x14ac:dyDescent="0.25">
      <c r="A233" s="661"/>
      <c r="B233" s="659"/>
      <c r="C233" s="112" t="str">
        <f>'натур показатели инновации+добр'!C217</f>
        <v>Саморез по гипсокартону, дереву, ДСП черный фосфат 4,8х102 (400шт.)</v>
      </c>
      <c r="D233" s="67" t="str">
        <f>'натур показатели инновации+добр'!D217</f>
        <v>шт</v>
      </c>
      <c r="E233" s="170">
        <f>'патриотика0,31'!D377</f>
        <v>71.3</v>
      </c>
    </row>
    <row r="234" spans="1:5" x14ac:dyDescent="0.25">
      <c r="A234" s="661"/>
      <c r="B234" s="659"/>
      <c r="C234" s="112" t="str">
        <f>'натур показатели инновации+добр'!C218</f>
        <v>Уголок крепежный универсальный цинк 100*100*60*2,0мм /50/</v>
      </c>
      <c r="D234" s="67" t="str">
        <f>'натур показатели инновации+добр'!D218</f>
        <v>шт</v>
      </c>
      <c r="E234" s="170">
        <f>'патриотика0,31'!D378</f>
        <v>2.48</v>
      </c>
    </row>
    <row r="235" spans="1:5" x14ac:dyDescent="0.25">
      <c r="A235" s="661"/>
      <c r="B235" s="659"/>
      <c r="C235" s="112" t="str">
        <f>'натур показатели инновации+добр'!C219</f>
        <v>Уголок крепежный универсальный цинк 80*80*40*2,0мм /100/</v>
      </c>
      <c r="D235" s="67" t="str">
        <f>'натур показатели инновации+добр'!D219</f>
        <v>шт</v>
      </c>
      <c r="E235" s="170">
        <f>'патриотика0,31'!D379</f>
        <v>4.34</v>
      </c>
    </row>
    <row r="236" spans="1:5" x14ac:dyDescent="0.25">
      <c r="A236" s="661"/>
      <c r="B236" s="659"/>
      <c r="C236" s="112" t="str">
        <f>'натур показатели инновации+добр'!C220</f>
        <v>Уголок крепежный универсальный цинк 50*50*60*2,0мм /100/</v>
      </c>
      <c r="D236" s="67" t="str">
        <f>'натур показатели инновации+добр'!D220</f>
        <v>шт</v>
      </c>
      <c r="E236" s="170">
        <f>'патриотика0,31'!D380</f>
        <v>6.2</v>
      </c>
    </row>
    <row r="237" spans="1:5" x14ac:dyDescent="0.25">
      <c r="A237" s="661"/>
      <c r="B237" s="659"/>
      <c r="C237" s="112" t="str">
        <f>'натур показатели инновации+добр'!C221</f>
        <v>Пластина крепежная универсальная цинк 200*60*2,0мм /50/</v>
      </c>
      <c r="D237" s="67" t="str">
        <f>'натур показатели инновации+добр'!D221</f>
        <v>шт</v>
      </c>
      <c r="E237" s="170">
        <f>'патриотика0,31'!D381</f>
        <v>3.1</v>
      </c>
    </row>
    <row r="238" spans="1:5" x14ac:dyDescent="0.25">
      <c r="A238" s="661"/>
      <c r="B238" s="659"/>
      <c r="C238" s="112" t="str">
        <f>'натур показатели инновации+добр'!C222</f>
        <v>Сверло по металлу 6,0мм ТОМСК 10902В</v>
      </c>
      <c r="D238" s="67" t="str">
        <f>'натур показатели инновации+добр'!D222</f>
        <v>шт</v>
      </c>
      <c r="E238" s="170">
        <f>'патриотика0,31'!D382</f>
        <v>0.62</v>
      </c>
    </row>
    <row r="239" spans="1:5" x14ac:dyDescent="0.25">
      <c r="A239" s="661"/>
      <c r="B239" s="659"/>
      <c r="C239" s="112" t="str">
        <f>'натур показатели инновации+добр'!C223</f>
        <v>Биты  ХК RSG 10 шт, РН2 х 70 мм, сталь S2 /120/</v>
      </c>
      <c r="D239" s="67" t="str">
        <f>'натур показатели инновации+добр'!D223</f>
        <v>шт</v>
      </c>
      <c r="E239" s="170">
        <f>'патриотика0,31'!D383</f>
        <v>1.24</v>
      </c>
    </row>
    <row r="240" spans="1:5" x14ac:dyDescent="0.25">
      <c r="A240" s="661"/>
      <c r="B240" s="659"/>
      <c r="C240" s="112" t="str">
        <f>'натур показатели инновации+добр'!C224</f>
        <v>Хомут  нейлоновый 2,5х200мм 100шт белый /10/100/</v>
      </c>
      <c r="D240" s="67" t="str">
        <f>'натур показатели инновации+добр'!D224</f>
        <v>шт</v>
      </c>
      <c r="E240" s="170">
        <f>'патриотика0,31'!D384</f>
        <v>0.31</v>
      </c>
    </row>
    <row r="241" spans="1:5" x14ac:dyDescent="0.25">
      <c r="A241" s="661"/>
      <c r="B241" s="659"/>
      <c r="C241" s="112" t="str">
        <f>'натур показатели инновации+добр'!C225</f>
        <v>Хомут  нейлоновый 3,6х300мм 100шт белый /10/150/</v>
      </c>
      <c r="D241" s="67" t="str">
        <f>'натур показатели инновации+добр'!D225</f>
        <v>шт</v>
      </c>
      <c r="E241" s="170">
        <f>'патриотика0,31'!D385</f>
        <v>0.31</v>
      </c>
    </row>
    <row r="242" spans="1:5" x14ac:dyDescent="0.25">
      <c r="A242" s="661"/>
      <c r="B242" s="659"/>
      <c r="C242" s="112" t="str">
        <f>'натур показатели инновации+добр'!C226</f>
        <v>Набор АНИ с бок подв 1/2 пл кнопка белая  WС8010 /20/</v>
      </c>
      <c r="D242" s="67" t="str">
        <f>'натур показатели инновации+добр'!D226</f>
        <v>шт</v>
      </c>
      <c r="E242" s="170">
        <f>'патриотика0,31'!D386</f>
        <v>0.31</v>
      </c>
    </row>
    <row r="243" spans="1:5" x14ac:dyDescent="0.25">
      <c r="A243" s="661"/>
      <c r="B243" s="659"/>
      <c r="C243" s="112" t="str">
        <f>'натур показатели инновации+добр'!C227</f>
        <v>Набор с бок подв АНИ шток пластик эконом  WС4050 /20/</v>
      </c>
      <c r="D243" s="67" t="str">
        <f>'натур показатели инновации+добр'!D227</f>
        <v>шт</v>
      </c>
      <c r="E243" s="170">
        <f>'патриотика0,31'!D387</f>
        <v>0.31</v>
      </c>
    </row>
    <row r="244" spans="1:5" x14ac:dyDescent="0.25">
      <c r="A244" s="661"/>
      <c r="B244" s="659"/>
      <c r="C244" s="112" t="str">
        <f>'натур показатели инновации+добр'!C228</f>
        <v>Тройник PPR соединительный 32 Дигор /15/60/</v>
      </c>
      <c r="D244" s="67" t="str">
        <f>'натур показатели инновации+добр'!D228</f>
        <v>шт</v>
      </c>
      <c r="E244" s="170">
        <f>'патриотика0,31'!D388</f>
        <v>2.48</v>
      </c>
    </row>
    <row r="245" spans="1:5" x14ac:dyDescent="0.25">
      <c r="A245" s="661"/>
      <c r="B245" s="659"/>
      <c r="C245" s="112" t="str">
        <f>'натур показатели инновации+добр'!C229</f>
        <v>Труба PPR Ду 25  PN 20, SDR 7,4 (4 м) армир. стекловолокном г.Красноярск  /упак. 25шт./</v>
      </c>
      <c r="D245" s="67" t="str">
        <f>'натур показатели инновации+добр'!D229</f>
        <v>шт</v>
      </c>
      <c r="E245" s="170">
        <f>'патриотика0,31'!D389</f>
        <v>0.92999999999999994</v>
      </c>
    </row>
    <row r="246" spans="1:5" x14ac:dyDescent="0.25">
      <c r="A246" s="661"/>
      <c r="B246" s="659"/>
      <c r="C246" s="112" t="str">
        <f>'натур показатели инновации+добр'!C230</f>
        <v>Труба РР PN25 Д-32*5,4 (1") L-4,0м (стекловолокно) (упак. 15 шт.)</v>
      </c>
      <c r="D246" s="67" t="str">
        <f>'натур показатели инновации+добр'!D230</f>
        <v>шт</v>
      </c>
      <c r="E246" s="170">
        <f>'патриотика0,31'!D390</f>
        <v>0.31</v>
      </c>
    </row>
    <row r="247" spans="1:5" x14ac:dyDescent="0.25">
      <c r="A247" s="661"/>
      <c r="B247" s="659"/>
      <c r="C247" s="112" t="str">
        <f>'натур показатели инновации+добр'!C231</f>
        <v>Изоляция для труб холодной воды 42/9мм, 2м /10/</v>
      </c>
      <c r="D247" s="67" t="str">
        <f>'натур показатели инновации+добр'!D231</f>
        <v>шт</v>
      </c>
      <c r="E247" s="170">
        <f>'патриотика0,31'!D391</f>
        <v>1.55</v>
      </c>
    </row>
    <row r="248" spans="1:5" x14ac:dyDescent="0.25">
      <c r="A248" s="661"/>
      <c r="B248" s="659"/>
      <c r="C248" s="112" t="str">
        <f>'натур показатели инновации+добр'!C232</f>
        <v>Изодом НПЭ Л 10мм (1,0х25 п.м)</v>
      </c>
      <c r="D248" s="67" t="str">
        <f>'натур показатели инновации+добр'!D232</f>
        <v>шт</v>
      </c>
      <c r="E248" s="170">
        <f>'патриотика0,31'!D392</f>
        <v>0.62</v>
      </c>
    </row>
    <row r="249" spans="1:5" x14ac:dyDescent="0.25">
      <c r="A249" s="661"/>
      <c r="B249" s="659"/>
      <c r="C249" s="112" t="str">
        <f>'натур показатели инновации+добр'!C233</f>
        <v>Лента серпянка сетка строительная самокл. Стелс 45мм.*45м. /63/</v>
      </c>
      <c r="D249" s="67" t="str">
        <f>'натур показатели инновации+добр'!D233</f>
        <v>шт</v>
      </c>
      <c r="E249" s="170">
        <f>'патриотика0,31'!D393</f>
        <v>1.55</v>
      </c>
    </row>
    <row r="250" spans="1:5" x14ac:dyDescent="0.25">
      <c r="A250" s="661"/>
      <c r="B250" s="659"/>
      <c r="C250" s="112" t="str">
        <f>'натур показатели инновации+добр'!C234</f>
        <v>Клей Cosmofen СА-12  20гр /флакон прозр.  /20/</v>
      </c>
      <c r="D250" s="67" t="str">
        <f>'натур показатели инновации+добр'!D234</f>
        <v>шт</v>
      </c>
      <c r="E250" s="170">
        <f>'патриотика0,31'!D394</f>
        <v>0.31</v>
      </c>
    </row>
    <row r="251" spans="1:5" x14ac:dyDescent="0.25">
      <c r="A251" s="661"/>
      <c r="B251" s="659"/>
      <c r="C251" s="112" t="str">
        <f>'натур показатели инновации+добр'!C235</f>
        <v>Сверло ЗУБР "МАСТЕР" по бетону ударное, 6х150мм</v>
      </c>
      <c r="D251" s="67" t="str">
        <f>'натур показатели инновации+добр'!D235</f>
        <v>шт</v>
      </c>
      <c r="E251" s="170">
        <f>'патриотика0,31'!D395</f>
        <v>0.31</v>
      </c>
    </row>
    <row r="252" spans="1:5" x14ac:dyDescent="0.25">
      <c r="A252" s="661"/>
      <c r="B252" s="659"/>
      <c r="C252" s="112" t="str">
        <f>'натур показатели инновации+добр'!C236</f>
        <v>Сверло ЗУБР "СУПЕР-6" по бетону ударное, шестигранный хвостовик, 4x75мм</v>
      </c>
      <c r="D252" s="67" t="str">
        <f>'натур показатели инновации+добр'!D236</f>
        <v>шт</v>
      </c>
      <c r="E252" s="170">
        <f>'патриотика0,31'!D396</f>
        <v>0.31</v>
      </c>
    </row>
    <row r="253" spans="1:5" x14ac:dyDescent="0.25">
      <c r="A253" s="661"/>
      <c r="B253" s="659"/>
      <c r="C253" s="112" t="str">
        <f>'натур показатели инновации+добр'!C237</f>
        <v>Профиль потолочный А-3 2,0м в сборе (М) (10)</v>
      </c>
      <c r="D253" s="67" t="str">
        <f>'натур показатели инновации+добр'!D237</f>
        <v>шт</v>
      </c>
      <c r="E253" s="170">
        <f>'патриотика0,31'!D397</f>
        <v>0.31</v>
      </c>
    </row>
    <row r="254" spans="1:5" x14ac:dyDescent="0.25">
      <c r="A254" s="661"/>
      <c r="B254" s="659"/>
      <c r="C254" s="112" t="str">
        <f>'натур показатели инновации+добр'!C238</f>
        <v>Клеёнка силиконовая Dekorelle 1,20*20м прозрачная (толщина 0,8мм)</v>
      </c>
      <c r="D254" s="67" t="str">
        <f>'натур показатели инновации+добр'!D238</f>
        <v>шт</v>
      </c>
      <c r="E254" s="170">
        <f>'патриотика0,31'!D398</f>
        <v>0.372</v>
      </c>
    </row>
    <row r="255" spans="1:5" x14ac:dyDescent="0.25">
      <c r="A255" s="661"/>
      <c r="B255" s="659"/>
      <c r="C255" s="112" t="str">
        <f>'натур показатели инновации+добр'!C239</f>
        <v>антифриз УАЗ</v>
      </c>
      <c r="D255" s="67" t="str">
        <f>'натур показатели инновации+добр'!D239</f>
        <v>шт</v>
      </c>
      <c r="E255" s="170">
        <f>'патриотика0,31'!D399</f>
        <v>0.62</v>
      </c>
    </row>
    <row r="256" spans="1:5" x14ac:dyDescent="0.25">
      <c r="A256" s="661"/>
      <c r="B256" s="659"/>
      <c r="C256" s="112" t="str">
        <f>'натур показатели инновации+добр'!C240</f>
        <v>ГСМ УАЗ (Масло двигатель)</v>
      </c>
      <c r="D256" s="67" t="str">
        <f>'натур показатели инновации+добр'!D240</f>
        <v>шт</v>
      </c>
      <c r="E256" s="170">
        <f>'патриотика0,31'!D400</f>
        <v>2.48</v>
      </c>
    </row>
    <row r="257" spans="1:5" x14ac:dyDescent="0.25">
      <c r="A257" s="661"/>
      <c r="B257" s="659"/>
      <c r="C257" s="112" t="str">
        <f>'натур показатели инновации+добр'!C241</f>
        <v>ГСМ Бензин</v>
      </c>
      <c r="D257" s="67" t="str">
        <f>'натур показатели инновации+добр'!D241</f>
        <v>шт</v>
      </c>
      <c r="E257" s="170">
        <f>'патриотика0,31'!D401</f>
        <v>930</v>
      </c>
    </row>
    <row r="258" spans="1:5" x14ac:dyDescent="0.25">
      <c r="A258" s="661"/>
      <c r="B258" s="659"/>
      <c r="C258" s="112" t="str">
        <f>'натур показатели инновации+добр'!C242</f>
        <v>перчатки нитриловые L</v>
      </c>
      <c r="D258" s="67" t="str">
        <f>'натур показатели инновации+добр'!D242</f>
        <v>шт</v>
      </c>
      <c r="E258" s="170">
        <f>'патриотика0,31'!D402</f>
        <v>248</v>
      </c>
    </row>
    <row r="259" spans="1:5" x14ac:dyDescent="0.25">
      <c r="A259" s="661"/>
      <c r="B259" s="659"/>
      <c r="C259" s="112" t="str">
        <f>'натур показатели инновации+добр'!C243</f>
        <v>перчатки нитриловые М</v>
      </c>
      <c r="D259" s="67" t="str">
        <f>'натур показатели инновации+добр'!D243</f>
        <v>шт</v>
      </c>
      <c r="E259" s="170">
        <f>'патриотика0,31'!D403</f>
        <v>248</v>
      </c>
    </row>
    <row r="260" spans="1:5" x14ac:dyDescent="0.25">
      <c r="A260" s="661"/>
      <c r="B260" s="659"/>
      <c r="C260" s="112" t="str">
        <f>'натур показатели инновации+добр'!C244</f>
        <v>маска мед одноразовая</v>
      </c>
      <c r="D260" s="67" t="str">
        <f>'натур показатели инновации+добр'!D244</f>
        <v>шт</v>
      </c>
      <c r="E260" s="170">
        <f>'патриотика0,31'!D404</f>
        <v>310</v>
      </c>
    </row>
    <row r="261" spans="1:5" x14ac:dyDescent="0.25">
      <c r="A261" s="661"/>
      <c r="B261" s="659"/>
      <c r="C261" s="112" t="str">
        <f>'натур показатели инновации+добр'!C245</f>
        <v>скреппер волокуша для снега</v>
      </c>
      <c r="D261" s="67" t="str">
        <f>'натур показатели инновации+добр'!D245</f>
        <v>шт</v>
      </c>
      <c r="E261" s="170">
        <f>'патриотика0,31'!D405</f>
        <v>0.31</v>
      </c>
    </row>
    <row r="262" spans="1:5" x14ac:dyDescent="0.25">
      <c r="A262" s="661"/>
      <c r="B262" s="659"/>
      <c r="C262" s="112" t="str">
        <f>'натур показатели инновации+добр'!C246</f>
        <v>мультиДез 1л</v>
      </c>
      <c r="D262" s="67" t="str">
        <f>'натур показатели инновации+добр'!D246</f>
        <v>шт</v>
      </c>
      <c r="E262" s="170">
        <f>'патриотика0,31'!D406</f>
        <v>3.1</v>
      </c>
    </row>
    <row r="263" spans="1:5" x14ac:dyDescent="0.25">
      <c r="A263" s="661"/>
      <c r="B263" s="659"/>
      <c r="C263" s="112" t="str">
        <f>'натур показатели инновации+добр'!C247</f>
        <v>Мульти ДезТефлекс 0,5</v>
      </c>
      <c r="D263" s="67" t="str">
        <f>'натур показатели инновации+добр'!D247</f>
        <v>шт</v>
      </c>
      <c r="E263" s="170">
        <f>'патриотика0,31'!D407</f>
        <v>1.24</v>
      </c>
    </row>
  </sheetData>
  <mergeCells count="18">
    <mergeCell ref="D1:E1"/>
    <mergeCell ref="A3:E3"/>
    <mergeCell ref="A4:E4"/>
    <mergeCell ref="C7:E7"/>
    <mergeCell ref="C8:E8"/>
    <mergeCell ref="B7:B263"/>
    <mergeCell ref="A7:A263"/>
    <mergeCell ref="C50:E50"/>
    <mergeCell ref="C104:E104"/>
    <mergeCell ref="C106:E106"/>
    <mergeCell ref="C51:E51"/>
    <mergeCell ref="C58:E58"/>
    <mergeCell ref="C85:E85"/>
    <mergeCell ref="C93:E93"/>
    <mergeCell ref="C98:E98"/>
    <mergeCell ref="C100:E100"/>
    <mergeCell ref="C11:E11"/>
    <mergeCell ref="C15:E15"/>
  </mergeCells>
  <pageMargins left="0.70866141732283472" right="0.70866141732283472" top="0.19685039370078741" bottom="0.15748031496062992" header="0.31496062992125984" footer="0.31496062992125984"/>
  <pageSetup paperSize="9" scale="33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09"/>
  <sheetViews>
    <sheetView view="pageBreakPreview" zoomScale="85" zoomScaleNormal="70" zoomScaleSheetLayoutView="85" zoomScalePageLayoutView="80" workbookViewId="0">
      <selection activeCell="I408" sqref="A1:I408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694" t="s">
        <v>47</v>
      </c>
      <c r="B1" s="694"/>
      <c r="C1" s="694"/>
      <c r="D1" s="694"/>
      <c r="E1" s="694"/>
      <c r="F1" s="694"/>
      <c r="G1" s="694"/>
      <c r="H1" s="694"/>
    </row>
    <row r="2" spans="1:122" ht="18.75" x14ac:dyDescent="0.25">
      <c r="A2" s="318" t="str">
        <f>'таланты+инициативы0,28'!A2</f>
        <v>на 30.11.2020 год</v>
      </c>
      <c r="B2" s="318"/>
      <c r="C2" s="318"/>
      <c r="D2" s="318"/>
      <c r="E2" s="318"/>
      <c r="F2" s="318"/>
      <c r="G2" s="318"/>
      <c r="H2" s="318"/>
    </row>
    <row r="3" spans="1:122" ht="57.6" customHeight="1" x14ac:dyDescent="0.25">
      <c r="A3" s="8" t="s">
        <v>217</v>
      </c>
      <c r="B3" s="679" t="s">
        <v>50</v>
      </c>
      <c r="C3" s="679"/>
      <c r="D3" s="679"/>
      <c r="E3" s="679"/>
      <c r="F3" s="679"/>
      <c r="G3" s="679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448"/>
      <c r="AS3" s="448"/>
      <c r="AT3" s="448"/>
      <c r="AU3" s="448"/>
      <c r="AV3" s="448"/>
      <c r="AW3" s="448"/>
      <c r="AX3" s="448"/>
      <c r="AY3" s="448"/>
      <c r="AZ3" s="448"/>
      <c r="BA3" s="448"/>
      <c r="BB3" s="448"/>
      <c r="BC3" s="448"/>
      <c r="BD3" s="448"/>
      <c r="BE3" s="448"/>
      <c r="BF3" s="448"/>
      <c r="BG3" s="448"/>
      <c r="BH3" s="448"/>
      <c r="BI3" s="448"/>
      <c r="BJ3" s="448"/>
      <c r="BK3" s="448"/>
      <c r="BL3" s="448"/>
      <c r="BM3" s="448"/>
      <c r="BN3" s="448"/>
      <c r="BO3" s="448"/>
      <c r="BP3" s="448"/>
      <c r="BQ3" s="448"/>
      <c r="BR3" s="448"/>
      <c r="BS3" s="448"/>
      <c r="BT3" s="448"/>
      <c r="BU3" s="448"/>
      <c r="BV3" s="448"/>
      <c r="BW3" s="448"/>
      <c r="BX3" s="448"/>
      <c r="BY3" s="448"/>
      <c r="BZ3" s="448"/>
      <c r="CA3" s="448"/>
      <c r="CB3" s="448"/>
      <c r="CC3" s="448"/>
      <c r="CD3" s="448"/>
      <c r="CE3" s="448"/>
      <c r="CF3" s="448"/>
      <c r="CG3" s="448"/>
      <c r="CH3" s="448"/>
      <c r="CI3" s="448"/>
      <c r="CJ3" s="448"/>
      <c r="CK3" s="448"/>
      <c r="CL3" s="448"/>
      <c r="CM3" s="448"/>
      <c r="CN3" s="448"/>
      <c r="CO3" s="448"/>
      <c r="CP3" s="448"/>
      <c r="CQ3" s="448"/>
      <c r="CR3" s="448"/>
      <c r="CS3" s="448"/>
      <c r="CT3" s="448"/>
      <c r="CU3" s="448"/>
      <c r="CV3" s="448"/>
      <c r="CW3" s="448"/>
      <c r="CX3" s="448"/>
      <c r="CY3" s="448"/>
      <c r="CZ3" s="448"/>
      <c r="DA3" s="448"/>
      <c r="DB3" s="448"/>
      <c r="DC3" s="448"/>
      <c r="DD3" s="448"/>
      <c r="DE3" s="448"/>
      <c r="DF3" s="448"/>
      <c r="DG3" s="448"/>
      <c r="DH3" s="448"/>
      <c r="DI3" s="448"/>
      <c r="DJ3" s="448"/>
      <c r="DK3" s="448"/>
      <c r="DL3" s="448"/>
      <c r="DM3" s="448"/>
      <c r="DN3" s="448"/>
      <c r="DO3" s="448"/>
      <c r="DP3" s="448"/>
      <c r="DQ3" s="448"/>
      <c r="DR3" s="448"/>
    </row>
    <row r="4" spans="1:122" x14ac:dyDescent="0.25">
      <c r="A4" s="698" t="s">
        <v>192</v>
      </c>
      <c r="B4" s="698"/>
      <c r="C4" s="698"/>
      <c r="D4" s="698"/>
      <c r="E4" s="698"/>
    </row>
    <row r="5" spans="1:122" x14ac:dyDescent="0.25">
      <c r="A5" s="699" t="s">
        <v>44</v>
      </c>
      <c r="B5" s="699"/>
      <c r="C5" s="699"/>
      <c r="D5" s="699"/>
      <c r="E5" s="699"/>
    </row>
    <row r="6" spans="1:122" x14ac:dyDescent="0.25">
      <c r="A6" s="699" t="s">
        <v>205</v>
      </c>
      <c r="B6" s="699"/>
      <c r="C6" s="699"/>
      <c r="D6" s="699"/>
      <c r="E6" s="699"/>
    </row>
    <row r="7" spans="1:122" x14ac:dyDescent="0.25">
      <c r="A7" s="609" t="s">
        <v>222</v>
      </c>
      <c r="B7" s="609"/>
      <c r="C7" s="609"/>
      <c r="D7" s="609"/>
      <c r="E7" s="609"/>
    </row>
    <row r="8" spans="1:122" ht="31.15" customHeight="1" x14ac:dyDescent="0.25">
      <c r="A8" s="102" t="s">
        <v>34</v>
      </c>
      <c r="B8" s="68" t="s">
        <v>9</v>
      </c>
      <c r="C8" s="69"/>
      <c r="D8" s="615" t="s">
        <v>10</v>
      </c>
      <c r="E8" s="616"/>
      <c r="F8" s="279" t="s">
        <v>9</v>
      </c>
    </row>
    <row r="9" spans="1:122" x14ac:dyDescent="0.25">
      <c r="A9" s="102"/>
      <c r="B9" s="321"/>
      <c r="C9" s="321"/>
      <c r="D9" s="617" t="str">
        <f>'инновации+добровольчество0,41'!D10:E10</f>
        <v>Заведующий МЦ</v>
      </c>
      <c r="E9" s="618"/>
      <c r="F9" s="70">
        <v>1</v>
      </c>
    </row>
    <row r="10" spans="1:122" x14ac:dyDescent="0.25">
      <c r="A10" s="68" t="s">
        <v>144</v>
      </c>
      <c r="B10" s="321">
        <v>5.6</v>
      </c>
      <c r="C10" s="321"/>
      <c r="D10" s="619" t="str">
        <f>'[1]2016'!$AE$25</f>
        <v>Водитель</v>
      </c>
      <c r="E10" s="620"/>
      <c r="F10" s="321">
        <v>1</v>
      </c>
    </row>
    <row r="11" spans="1:122" x14ac:dyDescent="0.25">
      <c r="A11" s="68" t="s">
        <v>97</v>
      </c>
      <c r="B11" s="321">
        <v>1</v>
      </c>
      <c r="C11" s="321"/>
      <c r="D11" s="619" t="s">
        <v>91</v>
      </c>
      <c r="E11" s="620"/>
      <c r="F11" s="321">
        <v>0.5</v>
      </c>
    </row>
    <row r="12" spans="1:122" x14ac:dyDescent="0.25">
      <c r="A12" s="102"/>
      <c r="B12" s="321"/>
      <c r="C12" s="321"/>
      <c r="D12" s="619" t="str">
        <f>'[1]2016'!$AE$26</f>
        <v xml:space="preserve">Уборщик служебных помещений </v>
      </c>
      <c r="E12" s="620"/>
      <c r="F12" s="321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621" t="s">
        <v>59</v>
      </c>
      <c r="E13" s="622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696" t="s">
        <v>226</v>
      </c>
      <c r="B15" s="696"/>
      <c r="C15" s="696"/>
      <c r="D15" s="696"/>
      <c r="E15" s="696"/>
      <c r="F15" s="696"/>
    </row>
    <row r="16" spans="1:122" x14ac:dyDescent="0.25">
      <c r="A16" s="10" t="s">
        <v>224</v>
      </c>
      <c r="B16" s="10"/>
      <c r="C16" s="10"/>
      <c r="D16" s="10"/>
    </row>
    <row r="17" spans="1:11" x14ac:dyDescent="0.25">
      <c r="A17" s="697" t="s">
        <v>46</v>
      </c>
      <c r="B17" s="697"/>
      <c r="C17" s="697"/>
      <c r="D17" s="697"/>
      <c r="E17" s="697"/>
      <c r="F17" s="697"/>
    </row>
    <row r="18" spans="1:11" x14ac:dyDescent="0.25">
      <c r="A18" s="695"/>
      <c r="B18" s="695"/>
      <c r="C18" s="319"/>
      <c r="D18" s="157">
        <v>0.31</v>
      </c>
      <c r="E18" s="158"/>
    </row>
    <row r="19" spans="1:11" ht="22.9" customHeight="1" x14ac:dyDescent="0.25">
      <c r="A19" s="673" t="s">
        <v>0</v>
      </c>
      <c r="B19" s="673" t="s">
        <v>1</v>
      </c>
      <c r="C19" s="311"/>
      <c r="D19" s="673" t="s">
        <v>2</v>
      </c>
      <c r="E19" s="670" t="s">
        <v>3</v>
      </c>
      <c r="F19" s="672"/>
      <c r="G19" s="673" t="s">
        <v>35</v>
      </c>
      <c r="H19" s="311" t="s">
        <v>5</v>
      </c>
      <c r="I19" s="673" t="s">
        <v>6</v>
      </c>
    </row>
    <row r="20" spans="1:11" ht="31.5" x14ac:dyDescent="0.25">
      <c r="A20" s="673"/>
      <c r="B20" s="673"/>
      <c r="C20" s="311"/>
      <c r="D20" s="673"/>
      <c r="E20" s="311" t="s">
        <v>230</v>
      </c>
      <c r="F20" s="311" t="s">
        <v>191</v>
      </c>
      <c r="G20" s="673"/>
      <c r="H20" s="297" t="s">
        <v>175</v>
      </c>
      <c r="I20" s="673"/>
    </row>
    <row r="21" spans="1:11" x14ac:dyDescent="0.25">
      <c r="A21" s="673"/>
      <c r="B21" s="673"/>
      <c r="C21" s="311"/>
      <c r="D21" s="673"/>
      <c r="E21" s="311" t="s">
        <v>4</v>
      </c>
      <c r="F21" s="159"/>
      <c r="G21" s="673"/>
      <c r="H21" s="311" t="s">
        <v>231</v>
      </c>
      <c r="I21" s="673"/>
    </row>
    <row r="22" spans="1:11" x14ac:dyDescent="0.25">
      <c r="A22" s="673">
        <v>1</v>
      </c>
      <c r="B22" s="673">
        <v>2</v>
      </c>
      <c r="C22" s="311"/>
      <c r="D22" s="673">
        <v>3</v>
      </c>
      <c r="E22" s="673" t="s">
        <v>229</v>
      </c>
      <c r="F22" s="668">
        <v>5</v>
      </c>
      <c r="G22" s="576" t="s">
        <v>7</v>
      </c>
      <c r="H22" s="297" t="s">
        <v>176</v>
      </c>
      <c r="I22" s="576" t="s">
        <v>177</v>
      </c>
    </row>
    <row r="23" spans="1:11" x14ac:dyDescent="0.25">
      <c r="A23" s="673"/>
      <c r="B23" s="673"/>
      <c r="C23" s="311"/>
      <c r="D23" s="673"/>
      <c r="E23" s="673"/>
      <c r="F23" s="669"/>
      <c r="G23" s="576"/>
      <c r="H23" s="54">
        <v>1780.6</v>
      </c>
      <c r="I23" s="576"/>
    </row>
    <row r="24" spans="1:11" x14ac:dyDescent="0.25">
      <c r="A24" s="73" t="s">
        <v>97</v>
      </c>
      <c r="B24" s="88">
        <f>'инновации+добровольчество0,41'!B25</f>
        <v>61932.1</v>
      </c>
      <c r="C24" s="86"/>
      <c r="D24" s="311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543.42756958328664</v>
      </c>
      <c r="I24" s="74">
        <f>G24*H24</f>
        <v>299964.41042400006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44160</v>
      </c>
      <c r="C25" s="181"/>
      <c r="D25" s="311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387.48502751881392</v>
      </c>
      <c r="I25" s="74">
        <f>G25*H25-30914.59</f>
        <v>1166848.7482400001</v>
      </c>
    </row>
    <row r="26" spans="1:11" ht="18.75" x14ac:dyDescent="0.3">
      <c r="A26" s="670" t="s">
        <v>8</v>
      </c>
      <c r="B26" s="671"/>
      <c r="C26" s="671"/>
      <c r="D26" s="671"/>
      <c r="E26" s="671"/>
      <c r="F26" s="671"/>
      <c r="G26" s="671"/>
      <c r="H26" s="672"/>
      <c r="I26" s="384">
        <f>SUM(I24:I25)</f>
        <v>1466813.1586640002</v>
      </c>
      <c r="J26" s="169">
        <f>I26+I141</f>
        <v>2159114.3235536003</v>
      </c>
      <c r="K26" s="183"/>
    </row>
    <row r="27" spans="1:11" hidden="1" x14ac:dyDescent="0.25">
      <c r="A27" s="593" t="s">
        <v>170</v>
      </c>
      <c r="B27" s="593"/>
      <c r="C27" s="593"/>
      <c r="D27" s="593"/>
      <c r="E27" s="593"/>
      <c r="F27" s="593"/>
      <c r="G27" s="593"/>
      <c r="H27" s="593"/>
      <c r="I27" s="182"/>
      <c r="J27" s="183"/>
    </row>
    <row r="28" spans="1:11" hidden="1" x14ac:dyDescent="0.25">
      <c r="A28" s="594" t="s">
        <v>62</v>
      </c>
      <c r="B28" s="597" t="s">
        <v>159</v>
      </c>
      <c r="C28" s="597"/>
      <c r="D28" s="597" t="s">
        <v>160</v>
      </c>
      <c r="E28" s="597"/>
      <c r="F28" s="597"/>
      <c r="G28" s="674"/>
      <c r="H28" s="674"/>
      <c r="I28" s="182"/>
      <c r="J28" s="183"/>
    </row>
    <row r="29" spans="1:11" ht="16.5" hidden="1" customHeight="1" x14ac:dyDescent="0.25">
      <c r="A29" s="595"/>
      <c r="B29" s="597"/>
      <c r="C29" s="597"/>
      <c r="D29" s="597" t="s">
        <v>161</v>
      </c>
      <c r="E29" s="594" t="s">
        <v>162</v>
      </c>
      <c r="F29" s="623" t="s">
        <v>163</v>
      </c>
      <c r="G29" s="594" t="s">
        <v>169</v>
      </c>
      <c r="H29" s="594" t="s">
        <v>6</v>
      </c>
      <c r="I29" s="182"/>
      <c r="J29" s="183"/>
    </row>
    <row r="30" spans="1:11" hidden="1" x14ac:dyDescent="0.25">
      <c r="A30" s="596"/>
      <c r="B30" s="597"/>
      <c r="C30" s="597"/>
      <c r="D30" s="597"/>
      <c r="E30" s="596"/>
      <c r="F30" s="625"/>
      <c r="G30" s="596"/>
      <c r="H30" s="596"/>
      <c r="I30" s="182"/>
      <c r="J30" s="183"/>
    </row>
    <row r="31" spans="1:11" hidden="1" x14ac:dyDescent="0.25">
      <c r="A31" s="287">
        <v>1</v>
      </c>
      <c r="B31" s="599">
        <v>2</v>
      </c>
      <c r="C31" s="600"/>
      <c r="D31" s="287">
        <v>3</v>
      </c>
      <c r="E31" s="287">
        <v>4</v>
      </c>
      <c r="F31" s="287">
        <v>5</v>
      </c>
      <c r="G31" s="287">
        <v>6</v>
      </c>
      <c r="H31" s="287">
        <v>7</v>
      </c>
      <c r="I31" s="182"/>
      <c r="J31" s="183"/>
    </row>
    <row r="32" spans="1:11" hidden="1" x14ac:dyDescent="0.25">
      <c r="A32" s="285" t="s">
        <v>97</v>
      </c>
      <c r="B32" s="285">
        <v>0.39300000000000002</v>
      </c>
      <c r="C32" s="286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285" t="s">
        <v>165</v>
      </c>
      <c r="B33" s="599">
        <f>5.6*0.393</f>
        <v>2.2008000000000001</v>
      </c>
      <c r="C33" s="600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284"/>
      <c r="B34" s="601">
        <f>SUM(B32:C33)</f>
        <v>3.5937999999999999</v>
      </c>
      <c r="C34" s="601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4"/>
    </row>
    <row r="35" spans="1:11" s="45" customFormat="1" ht="14.45" hidden="1" customHeight="1" x14ac:dyDescent="0.25">
      <c r="A35" s="593" t="s">
        <v>174</v>
      </c>
      <c r="B35" s="593"/>
      <c r="C35" s="593"/>
      <c r="D35" s="593"/>
      <c r="E35" s="593"/>
      <c r="F35" s="593"/>
      <c r="G35" s="593"/>
      <c r="H35" s="593"/>
      <c r="I35" s="153"/>
    </row>
    <row r="36" spans="1:11" s="45" customFormat="1" ht="28.9" hidden="1" customHeight="1" x14ac:dyDescent="0.25">
      <c r="A36" s="594" t="s">
        <v>62</v>
      </c>
      <c r="B36" s="597" t="s">
        <v>159</v>
      </c>
      <c r="C36" s="597"/>
      <c r="D36" s="612" t="s">
        <v>160</v>
      </c>
      <c r="E36" s="613"/>
      <c r="F36" s="288"/>
    </row>
    <row r="37" spans="1:11" s="45" customFormat="1" ht="14.45" hidden="1" customHeight="1" x14ac:dyDescent="0.25">
      <c r="A37" s="595"/>
      <c r="B37" s="597"/>
      <c r="C37" s="597"/>
      <c r="D37" s="597" t="s">
        <v>161</v>
      </c>
      <c r="E37" s="594" t="s">
        <v>169</v>
      </c>
      <c r="F37" s="594" t="s">
        <v>173</v>
      </c>
    </row>
    <row r="38" spans="1:11" s="45" customFormat="1" ht="15" hidden="1" x14ac:dyDescent="0.25">
      <c r="A38" s="596"/>
      <c r="B38" s="597"/>
      <c r="C38" s="597"/>
      <c r="D38" s="597"/>
      <c r="E38" s="596"/>
      <c r="F38" s="596"/>
    </row>
    <row r="39" spans="1:11" s="45" customFormat="1" ht="15" hidden="1" x14ac:dyDescent="0.25">
      <c r="A39" s="287">
        <v>1</v>
      </c>
      <c r="B39" s="599">
        <v>2</v>
      </c>
      <c r="C39" s="600"/>
      <c r="D39" s="287">
        <v>3</v>
      </c>
      <c r="E39" s="287">
        <v>6</v>
      </c>
      <c r="F39" s="287">
        <v>7</v>
      </c>
    </row>
    <row r="40" spans="1:11" s="45" customFormat="1" ht="15" hidden="1" x14ac:dyDescent="0.25">
      <c r="A40" s="285" t="s">
        <v>165</v>
      </c>
      <c r="B40" s="599">
        <f>B33</f>
        <v>2.2008000000000001</v>
      </c>
      <c r="C40" s="600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284"/>
      <c r="B41" s="601">
        <f>SUM(B40:C40)</f>
        <v>2.2008000000000001</v>
      </c>
      <c r="C41" s="601"/>
      <c r="D41" s="129">
        <f>SUM(D40:D40)</f>
        <v>4218.1400000000003</v>
      </c>
      <c r="E41" s="129">
        <f>SUM(E40:E40)</f>
        <v>1273.8782800000001</v>
      </c>
      <c r="F41" s="224"/>
    </row>
    <row r="42" spans="1:11" s="45" customFormat="1" ht="18.75" x14ac:dyDescent="0.25">
      <c r="A42" s="153"/>
      <c r="B42" s="153"/>
      <c r="C42" s="153"/>
      <c r="D42" s="212"/>
      <c r="E42" s="212"/>
      <c r="F42" s="215"/>
      <c r="J42" s="7">
        <v>2159114.3199999998</v>
      </c>
      <c r="K42" s="182"/>
    </row>
    <row r="43" spans="1:11" s="38" customFormat="1" ht="14.45" customHeight="1" x14ac:dyDescent="0.25">
      <c r="A43" s="593" t="s">
        <v>170</v>
      </c>
      <c r="B43" s="593"/>
      <c r="C43" s="593"/>
      <c r="D43" s="593"/>
      <c r="E43" s="593"/>
      <c r="F43" s="593"/>
      <c r="G43" s="598"/>
      <c r="H43" s="598"/>
      <c r="I43" s="153"/>
    </row>
    <row r="44" spans="1:11" s="38" customFormat="1" ht="15" customHeight="1" x14ac:dyDescent="0.25">
      <c r="A44" s="594" t="s">
        <v>62</v>
      </c>
      <c r="B44" s="597" t="s">
        <v>159</v>
      </c>
      <c r="C44" s="597"/>
      <c r="D44" s="623" t="s">
        <v>163</v>
      </c>
      <c r="E44" s="594" t="s">
        <v>169</v>
      </c>
      <c r="F44" s="626" t="s">
        <v>6</v>
      </c>
      <c r="G44" s="213"/>
      <c r="H44" s="213"/>
    </row>
    <row r="45" spans="1:11" s="38" customFormat="1" ht="15" customHeight="1" x14ac:dyDescent="0.25">
      <c r="A45" s="595"/>
      <c r="B45" s="597"/>
      <c r="C45" s="597"/>
      <c r="D45" s="624"/>
      <c r="E45" s="595"/>
      <c r="F45" s="626"/>
      <c r="G45" s="176"/>
      <c r="H45" s="176"/>
    </row>
    <row r="46" spans="1:11" s="38" customFormat="1" ht="15" x14ac:dyDescent="0.25">
      <c r="A46" s="596"/>
      <c r="B46" s="597"/>
      <c r="C46" s="597"/>
      <c r="D46" s="625"/>
      <c r="E46" s="596"/>
      <c r="F46" s="626"/>
    </row>
    <row r="47" spans="1:11" s="38" customFormat="1" ht="15" x14ac:dyDescent="0.25">
      <c r="A47" s="468">
        <v>1</v>
      </c>
      <c r="B47" s="599">
        <v>2</v>
      </c>
      <c r="C47" s="600"/>
      <c r="D47" s="468">
        <v>5</v>
      </c>
      <c r="E47" s="178">
        <v>6</v>
      </c>
      <c r="F47" s="178">
        <v>7</v>
      </c>
    </row>
    <row r="48" spans="1:11" s="38" customFormat="1" ht="15" x14ac:dyDescent="0.25">
      <c r="A48" s="465" t="s">
        <v>97</v>
      </c>
      <c r="B48" s="465">
        <v>0.31</v>
      </c>
      <c r="C48" s="466">
        <v>1</v>
      </c>
      <c r="D48" s="152">
        <v>336.27</v>
      </c>
      <c r="E48" s="179">
        <f>D48*30.2%</f>
        <v>101.55354</v>
      </c>
      <c r="F48" s="179">
        <f>D48+E48</f>
        <v>437.82353999999998</v>
      </c>
    </row>
    <row r="49" spans="1:11" s="38" customFormat="1" ht="15" x14ac:dyDescent="0.25">
      <c r="A49" s="465" t="s">
        <v>165</v>
      </c>
      <c r="B49" s="599">
        <v>1.736</v>
      </c>
      <c r="C49" s="600"/>
      <c r="D49" s="152">
        <v>1349.36</v>
      </c>
      <c r="E49" s="179">
        <f>D49*30.2%</f>
        <v>407.50671999999997</v>
      </c>
      <c r="F49" s="179">
        <f>D49+E49</f>
        <v>1756.86672</v>
      </c>
    </row>
    <row r="50" spans="1:11" s="38" customFormat="1" ht="15" x14ac:dyDescent="0.25">
      <c r="A50" s="467"/>
      <c r="B50" s="601">
        <f>SUM(B48:C49)</f>
        <v>3.0460000000000003</v>
      </c>
      <c r="C50" s="601"/>
      <c r="D50" s="129">
        <f>SUM(D48:D49)</f>
        <v>1685.6299999999999</v>
      </c>
      <c r="E50" s="129">
        <f>SUM(E48:E49)</f>
        <v>509.06025999999997</v>
      </c>
      <c r="F50" s="129">
        <f>SUM(F48:F49)</f>
        <v>2194.6902599999999</v>
      </c>
    </row>
    <row r="51" spans="1:11" x14ac:dyDescent="0.25">
      <c r="D51" s="160">
        <f>D18</f>
        <v>0.31</v>
      </c>
      <c r="J51" s="169">
        <f>J42-J26</f>
        <v>-3.5536005161702633E-3</v>
      </c>
      <c r="K51" s="182"/>
    </row>
    <row r="52" spans="1:11" ht="24.6" hidden="1" customHeight="1" x14ac:dyDescent="0.25">
      <c r="A52" s="673" t="s">
        <v>124</v>
      </c>
      <c r="B52" s="673"/>
      <c r="C52" s="311"/>
      <c r="D52" s="311" t="s">
        <v>11</v>
      </c>
      <c r="E52" s="311" t="s">
        <v>49</v>
      </c>
      <c r="F52" s="311" t="s">
        <v>15</v>
      </c>
      <c r="G52" s="316" t="s">
        <v>6</v>
      </c>
    </row>
    <row r="53" spans="1:11" hidden="1" x14ac:dyDescent="0.25">
      <c r="A53" s="670">
        <v>1</v>
      </c>
      <c r="B53" s="672"/>
      <c r="C53" s="312"/>
      <c r="D53" s="311">
        <v>2</v>
      </c>
      <c r="E53" s="75">
        <v>3</v>
      </c>
      <c r="F53" s="311">
        <v>4</v>
      </c>
      <c r="G53" s="78" t="s">
        <v>70</v>
      </c>
    </row>
    <row r="54" spans="1:11" hidden="1" x14ac:dyDescent="0.25">
      <c r="A54" s="675" t="str">
        <f>'инновации+добровольчество0,41'!A53</f>
        <v>Суточные</v>
      </c>
      <c r="B54" s="676"/>
      <c r="C54" s="314"/>
      <c r="D54" s="311" t="str">
        <f>'инновации+добровольчество0,41'!D53</f>
        <v>сутки</v>
      </c>
      <c r="E54" s="227">
        <f>D51</f>
        <v>0.31</v>
      </c>
      <c r="F54" s="324">
        <f>'инновации+добровольчество0,41'!F53</f>
        <v>450</v>
      </c>
      <c r="G54" s="82">
        <f>E54*F54</f>
        <v>139.5</v>
      </c>
    </row>
    <row r="55" spans="1:11" hidden="1" x14ac:dyDescent="0.25">
      <c r="A55" s="675" t="str">
        <f>'инновации+добровольчество0,41'!A54</f>
        <v>Проезд</v>
      </c>
      <c r="B55" s="676"/>
      <c r="C55" s="314"/>
      <c r="D55" s="311" t="str">
        <f>'инновации+добровольчество0,41'!D54</f>
        <v xml:space="preserve">Ед. </v>
      </c>
      <c r="E55" s="227">
        <f>E54</f>
        <v>0.31</v>
      </c>
      <c r="F55" s="324">
        <f>'инновации+добровольчество0,41'!F54</f>
        <v>6000</v>
      </c>
      <c r="G55" s="82">
        <f>E55*F55</f>
        <v>1860</v>
      </c>
    </row>
    <row r="56" spans="1:11" hidden="1" x14ac:dyDescent="0.25">
      <c r="A56" s="675" t="str">
        <f>'инновации+добровольчество0,41'!A55</f>
        <v xml:space="preserve">Проживание </v>
      </c>
      <c r="B56" s="676"/>
      <c r="C56" s="314"/>
      <c r="D56" s="311" t="str">
        <f>'инновации+добровольчество0,41'!D55</f>
        <v>сутки</v>
      </c>
      <c r="E56" s="227">
        <f>E54</f>
        <v>0.31</v>
      </c>
      <c r="F56" s="324">
        <f>'инновации+добровольчество0,41'!F55</f>
        <v>1509</v>
      </c>
      <c r="G56" s="82">
        <f>E56*F56</f>
        <v>467.79</v>
      </c>
    </row>
    <row r="57" spans="1:11" hidden="1" x14ac:dyDescent="0.25">
      <c r="A57" s="313" t="e">
        <f>'инновации+добровольчество0,41'!#REF!</f>
        <v>#REF!</v>
      </c>
      <c r="B57" s="226"/>
      <c r="C57" s="226"/>
      <c r="D57" s="311" t="e">
        <f>'инновации+добровольчество0,41'!#REF!</f>
        <v>#REF!</v>
      </c>
      <c r="E57" s="227">
        <f>E54</f>
        <v>0.31</v>
      </c>
      <c r="F57" s="324" t="e">
        <f>'инновации+добровольчество0,41'!#REF!</f>
        <v>#REF!</v>
      </c>
      <c r="G57" s="82">
        <v>0</v>
      </c>
    </row>
    <row r="58" spans="1:11" ht="18.75" hidden="1" x14ac:dyDescent="0.25">
      <c r="A58" s="690" t="s">
        <v>60</v>
      </c>
      <c r="B58" s="691"/>
      <c r="C58" s="691"/>
      <c r="D58" s="691"/>
      <c r="E58" s="691"/>
      <c r="F58" s="692"/>
      <c r="G58" s="260">
        <v>0</v>
      </c>
    </row>
    <row r="59" spans="1:11" x14ac:dyDescent="0.25">
      <c r="A59" s="680" t="s">
        <v>122</v>
      </c>
      <c r="B59" s="680"/>
      <c r="C59" s="680"/>
      <c r="D59" s="680"/>
      <c r="E59" s="680"/>
      <c r="F59" s="680"/>
    </row>
    <row r="60" spans="1:11" ht="15.6" customHeight="1" x14ac:dyDescent="0.25">
      <c r="D60" s="160"/>
      <c r="F60" s="161">
        <v>1</v>
      </c>
    </row>
    <row r="61" spans="1:11" ht="12" customHeight="1" x14ac:dyDescent="0.25">
      <c r="A61" s="494" t="s">
        <v>125</v>
      </c>
      <c r="B61" s="668" t="s">
        <v>520</v>
      </c>
      <c r="C61" s="668" t="s">
        <v>11</v>
      </c>
      <c r="D61" s="668" t="s">
        <v>49</v>
      </c>
      <c r="E61" s="668" t="s">
        <v>15</v>
      </c>
      <c r="F61" s="681" t="s">
        <v>6</v>
      </c>
      <c r="I61" s="186"/>
    </row>
    <row r="62" spans="1:11" ht="9" customHeight="1" x14ac:dyDescent="0.25">
      <c r="A62" s="495"/>
      <c r="B62" s="669"/>
      <c r="C62" s="669"/>
      <c r="D62" s="669"/>
      <c r="E62" s="669"/>
      <c r="F62" s="682"/>
      <c r="I62" s="161"/>
    </row>
    <row r="63" spans="1:11" ht="16.5" thickBot="1" x14ac:dyDescent="0.3">
      <c r="A63" s="496">
        <v>1</v>
      </c>
      <c r="B63" s="312">
        <v>2</v>
      </c>
      <c r="C63" s="289">
        <v>2</v>
      </c>
      <c r="D63" s="289">
        <v>3</v>
      </c>
      <c r="E63" s="289">
        <v>4</v>
      </c>
      <c r="F63" s="268" t="s">
        <v>70</v>
      </c>
    </row>
    <row r="64" spans="1:11" x14ac:dyDescent="0.25">
      <c r="A64" s="500" t="s">
        <v>506</v>
      </c>
      <c r="B64" s="506" t="s">
        <v>88</v>
      </c>
      <c r="D64" s="497">
        <v>15</v>
      </c>
      <c r="E64" s="497">
        <v>900</v>
      </c>
      <c r="F64" s="162">
        <f>D64*E64</f>
        <v>13500</v>
      </c>
    </row>
    <row r="65" spans="1:6" x14ac:dyDescent="0.25">
      <c r="A65" s="500" t="s">
        <v>507</v>
      </c>
      <c r="B65" s="506" t="s">
        <v>88</v>
      </c>
      <c r="D65" s="497">
        <v>8</v>
      </c>
      <c r="E65" s="497">
        <v>1000</v>
      </c>
      <c r="F65" s="162">
        <f t="shared" ref="F65:F110" si="1">D65*E65</f>
        <v>8000</v>
      </c>
    </row>
    <row r="66" spans="1:6" x14ac:dyDescent="0.25">
      <c r="A66" s="500" t="s">
        <v>508</v>
      </c>
      <c r="B66" s="506" t="s">
        <v>88</v>
      </c>
      <c r="D66" s="497">
        <v>5</v>
      </c>
      <c r="E66" s="497">
        <v>2000</v>
      </c>
      <c r="F66" s="162">
        <f t="shared" si="1"/>
        <v>10000</v>
      </c>
    </row>
    <row r="67" spans="1:6" x14ac:dyDescent="0.25">
      <c r="A67" s="500" t="s">
        <v>509</v>
      </c>
      <c r="B67" s="506" t="s">
        <v>88</v>
      </c>
      <c r="D67" s="497">
        <v>5</v>
      </c>
      <c r="E67" s="497">
        <v>3000</v>
      </c>
      <c r="F67" s="162">
        <f t="shared" si="1"/>
        <v>15000</v>
      </c>
    </row>
    <row r="68" spans="1:6" x14ac:dyDescent="0.25">
      <c r="A68" s="500" t="s">
        <v>510</v>
      </c>
      <c r="B68" s="506" t="s">
        <v>88</v>
      </c>
      <c r="D68" s="497">
        <v>100</v>
      </c>
      <c r="E68" s="497">
        <v>180</v>
      </c>
      <c r="F68" s="162">
        <f t="shared" si="1"/>
        <v>18000</v>
      </c>
    </row>
    <row r="69" spans="1:6" x14ac:dyDescent="0.25">
      <c r="A69" s="500" t="s">
        <v>511</v>
      </c>
      <c r="B69" s="506" t="s">
        <v>88</v>
      </c>
      <c r="D69" s="497">
        <v>20</v>
      </c>
      <c r="E69" s="497">
        <v>300</v>
      </c>
      <c r="F69" s="162">
        <f t="shared" si="1"/>
        <v>6000</v>
      </c>
    </row>
    <row r="70" spans="1:6" x14ac:dyDescent="0.25">
      <c r="A70" s="500" t="s">
        <v>512</v>
      </c>
      <c r="B70" s="506" t="s">
        <v>88</v>
      </c>
      <c r="D70" s="497">
        <v>5</v>
      </c>
      <c r="E70" s="497">
        <v>900</v>
      </c>
      <c r="F70" s="162">
        <f t="shared" si="1"/>
        <v>4500</v>
      </c>
    </row>
    <row r="71" spans="1:6" x14ac:dyDescent="0.25">
      <c r="A71" s="500" t="s">
        <v>513</v>
      </c>
      <c r="B71" s="506" t="s">
        <v>88</v>
      </c>
      <c r="D71" s="497">
        <v>1</v>
      </c>
      <c r="E71" s="497">
        <v>3800</v>
      </c>
      <c r="F71" s="162">
        <f t="shared" si="1"/>
        <v>3800</v>
      </c>
    </row>
    <row r="72" spans="1:6" x14ac:dyDescent="0.25">
      <c r="A72" s="500" t="s">
        <v>514</v>
      </c>
      <c r="B72" s="506" t="s">
        <v>88</v>
      </c>
      <c r="D72" s="497">
        <v>1</v>
      </c>
      <c r="E72" s="497">
        <v>4000</v>
      </c>
      <c r="F72" s="162">
        <f t="shared" si="1"/>
        <v>4000</v>
      </c>
    </row>
    <row r="73" spans="1:6" x14ac:dyDescent="0.25">
      <c r="A73" s="500" t="s">
        <v>515</v>
      </c>
      <c r="B73" s="506" t="s">
        <v>88</v>
      </c>
      <c r="D73" s="497">
        <v>1</v>
      </c>
      <c r="E73" s="497">
        <v>4800</v>
      </c>
      <c r="F73" s="162">
        <f t="shared" si="1"/>
        <v>4800</v>
      </c>
    </row>
    <row r="74" spans="1:6" x14ac:dyDescent="0.25">
      <c r="A74" s="500" t="s">
        <v>516</v>
      </c>
      <c r="B74" s="506" t="s">
        <v>88</v>
      </c>
      <c r="D74" s="497">
        <v>1</v>
      </c>
      <c r="E74" s="497">
        <v>2500</v>
      </c>
      <c r="F74" s="162">
        <f t="shared" si="1"/>
        <v>2500</v>
      </c>
    </row>
    <row r="75" spans="1:6" ht="31.5" x14ac:dyDescent="0.25">
      <c r="A75" s="500" t="s">
        <v>517</v>
      </c>
      <c r="B75" s="506" t="s">
        <v>88</v>
      </c>
      <c r="D75" s="497">
        <v>2</v>
      </c>
      <c r="E75" s="497">
        <v>1500</v>
      </c>
      <c r="F75" s="162">
        <f t="shared" si="1"/>
        <v>3000</v>
      </c>
    </row>
    <row r="76" spans="1:6" ht="31.5" x14ac:dyDescent="0.25">
      <c r="A76" s="500" t="s">
        <v>518</v>
      </c>
      <c r="B76" s="506" t="s">
        <v>88</v>
      </c>
      <c r="D76" s="497">
        <v>2</v>
      </c>
      <c r="E76" s="497">
        <v>850</v>
      </c>
      <c r="F76" s="162">
        <f t="shared" si="1"/>
        <v>1700</v>
      </c>
    </row>
    <row r="77" spans="1:6" x14ac:dyDescent="0.25">
      <c r="A77" s="501" t="s">
        <v>237</v>
      </c>
      <c r="B77" s="506"/>
      <c r="D77" s="498"/>
      <c r="E77" s="499"/>
      <c r="F77" s="162"/>
    </row>
    <row r="78" spans="1:6" x14ac:dyDescent="0.25">
      <c r="A78" s="502" t="s">
        <v>357</v>
      </c>
      <c r="B78" s="506" t="s">
        <v>88</v>
      </c>
      <c r="D78" s="91">
        <v>12</v>
      </c>
      <c r="E78" s="92">
        <v>109.2</v>
      </c>
      <c r="F78" s="162">
        <f t="shared" si="1"/>
        <v>1310.4000000000001</v>
      </c>
    </row>
    <row r="79" spans="1:6" x14ac:dyDescent="0.25">
      <c r="A79" s="502" t="s">
        <v>358</v>
      </c>
      <c r="B79" s="506" t="s">
        <v>88</v>
      </c>
      <c r="D79" s="91">
        <v>12</v>
      </c>
      <c r="E79" s="92">
        <v>366.82</v>
      </c>
      <c r="F79" s="162">
        <f t="shared" si="1"/>
        <v>4401.84</v>
      </c>
    </row>
    <row r="80" spans="1:6" x14ac:dyDescent="0.25">
      <c r="A80" s="502" t="s">
        <v>359</v>
      </c>
      <c r="B80" s="506" t="s">
        <v>88</v>
      </c>
      <c r="D80" s="91">
        <v>12</v>
      </c>
      <c r="E80" s="92">
        <v>747.11</v>
      </c>
      <c r="F80" s="162">
        <f t="shared" si="1"/>
        <v>8965.32</v>
      </c>
    </row>
    <row r="81" spans="1:6" x14ac:dyDescent="0.25">
      <c r="A81" s="502" t="s">
        <v>360</v>
      </c>
      <c r="B81" s="506" t="s">
        <v>88</v>
      </c>
      <c r="D81" s="91">
        <v>12</v>
      </c>
      <c r="E81" s="92">
        <v>3325.7</v>
      </c>
      <c r="F81" s="162">
        <f t="shared" si="1"/>
        <v>39908.399999999994</v>
      </c>
    </row>
    <row r="82" spans="1:6" x14ac:dyDescent="0.25">
      <c r="A82" s="502" t="s">
        <v>361</v>
      </c>
      <c r="B82" s="506" t="s">
        <v>88</v>
      </c>
      <c r="D82" s="91">
        <v>12</v>
      </c>
      <c r="E82" s="92">
        <v>1117.9000000000001</v>
      </c>
      <c r="F82" s="162">
        <f t="shared" si="1"/>
        <v>13414.800000000001</v>
      </c>
    </row>
    <row r="83" spans="1:6" x14ac:dyDescent="0.25">
      <c r="A83" s="502" t="s">
        <v>362</v>
      </c>
      <c r="B83" s="506" t="s">
        <v>88</v>
      </c>
      <c r="D83" s="91">
        <v>12</v>
      </c>
      <c r="E83" s="92">
        <v>1099.5</v>
      </c>
      <c r="F83" s="162">
        <f t="shared" si="1"/>
        <v>13194</v>
      </c>
    </row>
    <row r="84" spans="1:6" x14ac:dyDescent="0.25">
      <c r="A84" s="502" t="s">
        <v>363</v>
      </c>
      <c r="B84" s="506" t="s">
        <v>88</v>
      </c>
      <c r="D84" s="91">
        <v>12</v>
      </c>
      <c r="E84" s="92">
        <v>5443</v>
      </c>
      <c r="F84" s="162">
        <f t="shared" si="1"/>
        <v>65316</v>
      </c>
    </row>
    <row r="85" spans="1:6" x14ac:dyDescent="0.25">
      <c r="A85" s="502" t="s">
        <v>364</v>
      </c>
      <c r="B85" s="506" t="s">
        <v>88</v>
      </c>
      <c r="D85" s="91">
        <v>12</v>
      </c>
      <c r="E85" s="92">
        <v>679</v>
      </c>
      <c r="F85" s="162">
        <f t="shared" si="1"/>
        <v>8148</v>
      </c>
    </row>
    <row r="86" spans="1:6" x14ac:dyDescent="0.25">
      <c r="A86" s="502" t="s">
        <v>365</v>
      </c>
      <c r="B86" s="506" t="s">
        <v>88</v>
      </c>
      <c r="D86" s="91">
        <v>12</v>
      </c>
      <c r="E86" s="92">
        <v>4077</v>
      </c>
      <c r="F86" s="162">
        <f t="shared" si="1"/>
        <v>48924</v>
      </c>
    </row>
    <row r="87" spans="1:6" x14ac:dyDescent="0.25">
      <c r="A87" s="502" t="s">
        <v>366</v>
      </c>
      <c r="B87" s="506" t="s">
        <v>88</v>
      </c>
      <c r="D87" s="91">
        <v>11</v>
      </c>
      <c r="E87" s="92">
        <v>1368</v>
      </c>
      <c r="F87" s="162">
        <f t="shared" si="1"/>
        <v>15048</v>
      </c>
    </row>
    <row r="88" spans="1:6" x14ac:dyDescent="0.25">
      <c r="A88" s="502" t="s">
        <v>366</v>
      </c>
      <c r="B88" s="506" t="s">
        <v>88</v>
      </c>
      <c r="D88" s="91">
        <v>1</v>
      </c>
      <c r="E88" s="92">
        <v>1368.02</v>
      </c>
      <c r="F88" s="162">
        <f t="shared" si="1"/>
        <v>1368.02</v>
      </c>
    </row>
    <row r="89" spans="1:6" x14ac:dyDescent="0.25">
      <c r="A89" s="502" t="s">
        <v>519</v>
      </c>
      <c r="B89" s="506" t="s">
        <v>88</v>
      </c>
      <c r="D89" s="91">
        <v>1</v>
      </c>
      <c r="E89" s="92">
        <v>1201.22</v>
      </c>
      <c r="F89" s="162">
        <f t="shared" si="1"/>
        <v>1201.22</v>
      </c>
    </row>
    <row r="90" spans="1:6" x14ac:dyDescent="0.25">
      <c r="A90" s="503" t="s">
        <v>367</v>
      </c>
      <c r="B90" s="506"/>
      <c r="D90" s="91"/>
      <c r="E90" s="92"/>
      <c r="F90" s="162"/>
    </row>
    <row r="91" spans="1:6" x14ac:dyDescent="0.25">
      <c r="A91" s="502" t="s">
        <v>368</v>
      </c>
      <c r="B91" s="506" t="s">
        <v>88</v>
      </c>
      <c r="D91" s="91">
        <v>4</v>
      </c>
      <c r="E91" s="92">
        <v>1500</v>
      </c>
      <c r="F91" s="162">
        <f t="shared" si="1"/>
        <v>6000</v>
      </c>
    </row>
    <row r="92" spans="1:6" x14ac:dyDescent="0.25">
      <c r="A92" s="502" t="s">
        <v>369</v>
      </c>
      <c r="B92" s="506" t="s">
        <v>88</v>
      </c>
      <c r="D92" s="91">
        <v>2</v>
      </c>
      <c r="E92" s="92">
        <v>2575</v>
      </c>
      <c r="F92" s="162">
        <f t="shared" si="1"/>
        <v>5150</v>
      </c>
    </row>
    <row r="93" spans="1:6" x14ac:dyDescent="0.25">
      <c r="A93" s="502" t="s">
        <v>370</v>
      </c>
      <c r="B93" s="506" t="s">
        <v>88</v>
      </c>
      <c r="D93" s="91">
        <v>30</v>
      </c>
      <c r="E93" s="92">
        <v>115</v>
      </c>
      <c r="F93" s="162">
        <f t="shared" si="1"/>
        <v>3450</v>
      </c>
    </row>
    <row r="94" spans="1:6" x14ac:dyDescent="0.25">
      <c r="A94" s="502" t="s">
        <v>371</v>
      </c>
      <c r="B94" s="506" t="s">
        <v>88</v>
      </c>
      <c r="D94" s="91">
        <v>30</v>
      </c>
      <c r="E94" s="92">
        <v>180</v>
      </c>
      <c r="F94" s="162">
        <f t="shared" si="1"/>
        <v>5400</v>
      </c>
    </row>
    <row r="95" spans="1:6" x14ac:dyDescent="0.25">
      <c r="A95" s="503" t="s">
        <v>372</v>
      </c>
      <c r="B95" s="506"/>
      <c r="D95" s="91"/>
      <c r="E95" s="92"/>
      <c r="F95" s="162"/>
    </row>
    <row r="96" spans="1:6" x14ac:dyDescent="0.25">
      <c r="A96" s="502" t="s">
        <v>368</v>
      </c>
      <c r="B96" s="506" t="s">
        <v>88</v>
      </c>
      <c r="D96" s="91">
        <v>4</v>
      </c>
      <c r="E96" s="92">
        <v>1500</v>
      </c>
      <c r="F96" s="162">
        <f t="shared" si="1"/>
        <v>6000</v>
      </c>
    </row>
    <row r="97" spans="1:7" x14ac:dyDescent="0.25">
      <c r="A97" s="502" t="s">
        <v>373</v>
      </c>
      <c r="B97" s="506" t="s">
        <v>88</v>
      </c>
      <c r="D97" s="91">
        <v>3</v>
      </c>
      <c r="E97" s="92">
        <v>1000</v>
      </c>
      <c r="F97" s="162">
        <f t="shared" si="1"/>
        <v>3000</v>
      </c>
    </row>
    <row r="98" spans="1:7" x14ac:dyDescent="0.25">
      <c r="A98" s="502" t="s">
        <v>374</v>
      </c>
      <c r="B98" s="506" t="s">
        <v>88</v>
      </c>
      <c r="D98" s="91">
        <v>1</v>
      </c>
      <c r="E98" s="92">
        <v>2000</v>
      </c>
      <c r="F98" s="162">
        <f t="shared" si="1"/>
        <v>2000</v>
      </c>
    </row>
    <row r="99" spans="1:7" x14ac:dyDescent="0.25">
      <c r="A99" s="502" t="s">
        <v>375</v>
      </c>
      <c r="B99" s="506" t="s">
        <v>88</v>
      </c>
      <c r="D99" s="91">
        <v>1</v>
      </c>
      <c r="E99" s="92">
        <v>3000</v>
      </c>
      <c r="F99" s="162">
        <f t="shared" si="1"/>
        <v>3000</v>
      </c>
    </row>
    <row r="100" spans="1:7" x14ac:dyDescent="0.25">
      <c r="A100" s="433" t="s">
        <v>376</v>
      </c>
      <c r="B100" s="506"/>
      <c r="D100" s="91"/>
      <c r="E100" s="92"/>
      <c r="F100" s="162"/>
    </row>
    <row r="101" spans="1:7" x14ac:dyDescent="0.25">
      <c r="A101" s="502" t="s">
        <v>377</v>
      </c>
      <c r="B101" s="506" t="s">
        <v>88</v>
      </c>
      <c r="D101" s="91">
        <v>10</v>
      </c>
      <c r="E101" s="92">
        <v>800</v>
      </c>
      <c r="F101" s="162">
        <f t="shared" si="1"/>
        <v>8000</v>
      </c>
    </row>
    <row r="102" spans="1:7" x14ac:dyDescent="0.25">
      <c r="A102" s="502" t="s">
        <v>378</v>
      </c>
      <c r="B102" s="506" t="s">
        <v>88</v>
      </c>
      <c r="D102" s="91">
        <v>100</v>
      </c>
      <c r="E102" s="92">
        <v>150</v>
      </c>
      <c r="F102" s="162">
        <f t="shared" si="1"/>
        <v>15000</v>
      </c>
    </row>
    <row r="103" spans="1:7" x14ac:dyDescent="0.25">
      <c r="A103" s="502" t="s">
        <v>379</v>
      </c>
      <c r="B103" s="506" t="s">
        <v>88</v>
      </c>
      <c r="D103" s="91">
        <v>20</v>
      </c>
      <c r="E103" s="92">
        <v>380</v>
      </c>
      <c r="F103" s="162">
        <f t="shared" si="1"/>
        <v>7600</v>
      </c>
    </row>
    <row r="104" spans="1:7" x14ac:dyDescent="0.25">
      <c r="A104" s="502" t="s">
        <v>380</v>
      </c>
      <c r="B104" s="506" t="s">
        <v>88</v>
      </c>
      <c r="D104" s="91">
        <v>20</v>
      </c>
      <c r="E104" s="92">
        <v>450</v>
      </c>
      <c r="F104" s="162">
        <f t="shared" si="1"/>
        <v>9000</v>
      </c>
    </row>
    <row r="105" spans="1:7" x14ac:dyDescent="0.25">
      <c r="A105" s="504" t="s">
        <v>381</v>
      </c>
      <c r="B105" s="506" t="s">
        <v>88</v>
      </c>
      <c r="D105" s="91">
        <v>1</v>
      </c>
      <c r="E105" s="92">
        <v>4800</v>
      </c>
      <c r="F105" s="162">
        <f t="shared" si="1"/>
        <v>4800</v>
      </c>
    </row>
    <row r="106" spans="1:7" x14ac:dyDescent="0.25">
      <c r="A106" s="502" t="s">
        <v>382</v>
      </c>
      <c r="B106" s="506" t="s">
        <v>88</v>
      </c>
      <c r="D106" s="91">
        <v>10</v>
      </c>
      <c r="E106" s="92">
        <v>480</v>
      </c>
      <c r="F106" s="162">
        <f t="shared" si="1"/>
        <v>4800</v>
      </c>
    </row>
    <row r="107" spans="1:7" x14ac:dyDescent="0.25">
      <c r="A107" s="502" t="s">
        <v>379</v>
      </c>
      <c r="B107" s="506" t="s">
        <v>88</v>
      </c>
      <c r="D107" s="91">
        <v>10</v>
      </c>
      <c r="E107" s="92">
        <v>380</v>
      </c>
      <c r="F107" s="162">
        <f t="shared" si="1"/>
        <v>3800</v>
      </c>
    </row>
    <row r="108" spans="1:7" x14ac:dyDescent="0.25">
      <c r="A108" s="502" t="s">
        <v>383</v>
      </c>
      <c r="B108" s="506" t="s">
        <v>88</v>
      </c>
      <c r="D108" s="91">
        <v>1</v>
      </c>
      <c r="E108" s="92">
        <v>1750</v>
      </c>
      <c r="F108" s="162">
        <f t="shared" si="1"/>
        <v>1750</v>
      </c>
    </row>
    <row r="109" spans="1:7" x14ac:dyDescent="0.25">
      <c r="A109" s="504" t="s">
        <v>384</v>
      </c>
      <c r="B109" s="506" t="s">
        <v>88</v>
      </c>
      <c r="D109" s="91">
        <v>20</v>
      </c>
      <c r="E109" s="92">
        <v>500</v>
      </c>
      <c r="F109" s="162">
        <f t="shared" si="1"/>
        <v>10000</v>
      </c>
    </row>
    <row r="110" spans="1:7" ht="16.5" thickBot="1" x14ac:dyDescent="0.3">
      <c r="A110" s="505" t="s">
        <v>385</v>
      </c>
      <c r="B110" s="506" t="s">
        <v>88</v>
      </c>
      <c r="D110" s="434">
        <v>10</v>
      </c>
      <c r="E110" s="435">
        <v>1000</v>
      </c>
      <c r="F110" s="162">
        <f t="shared" si="1"/>
        <v>10000</v>
      </c>
    </row>
    <row r="111" spans="1:7" ht="18.75" x14ac:dyDescent="0.25">
      <c r="F111" s="440">
        <f>SUM(F64:F110)</f>
        <v>424750</v>
      </c>
    </row>
    <row r="112" spans="1:7" s="271" customFormat="1" ht="18.75" x14ac:dyDescent="0.25">
      <c r="A112" s="270"/>
      <c r="B112" s="270"/>
      <c r="C112" s="270"/>
      <c r="D112" s="270"/>
      <c r="E112" s="270"/>
      <c r="F112" s="270"/>
      <c r="G112" s="252"/>
    </row>
    <row r="113" spans="1:9" s="271" customFormat="1" ht="18.75" x14ac:dyDescent="0.25">
      <c r="A113" s="680" t="s">
        <v>122</v>
      </c>
      <c r="B113" s="680"/>
      <c r="C113" s="680"/>
      <c r="D113" s="680"/>
      <c r="E113" s="680"/>
      <c r="F113" s="680"/>
      <c r="G113" s="252"/>
    </row>
    <row r="114" spans="1:9" s="271" customFormat="1" ht="31.5" customHeight="1" x14ac:dyDescent="0.25">
      <c r="A114" s="718" t="s">
        <v>261</v>
      </c>
      <c r="B114" s="718"/>
      <c r="C114" s="718"/>
      <c r="D114" s="718"/>
      <c r="E114" s="718"/>
      <c r="F114" s="718"/>
      <c r="G114" s="718"/>
    </row>
    <row r="115" spans="1:9" s="271" customFormat="1" x14ac:dyDescent="0.25">
      <c r="A115" s="707" t="s">
        <v>125</v>
      </c>
      <c r="B115" s="708"/>
      <c r="C115" s="334"/>
      <c r="D115" s="668" t="s">
        <v>11</v>
      </c>
      <c r="E115" s="668" t="s">
        <v>49</v>
      </c>
      <c r="F115" s="668" t="s">
        <v>15</v>
      </c>
      <c r="G115" s="681" t="s">
        <v>6</v>
      </c>
    </row>
    <row r="116" spans="1:9" s="271" customFormat="1" x14ac:dyDescent="0.25">
      <c r="A116" s="716"/>
      <c r="B116" s="717"/>
      <c r="C116" s="334"/>
      <c r="D116" s="669"/>
      <c r="E116" s="669"/>
      <c r="F116" s="669"/>
      <c r="G116" s="682"/>
    </row>
    <row r="117" spans="1:9" s="271" customFormat="1" x14ac:dyDescent="0.25">
      <c r="A117" s="707">
        <v>1</v>
      </c>
      <c r="B117" s="708"/>
      <c r="C117" s="333"/>
      <c r="D117" s="335">
        <v>2</v>
      </c>
      <c r="E117" s="335">
        <v>3</v>
      </c>
      <c r="F117" s="335">
        <v>4</v>
      </c>
      <c r="G117" s="340" t="s">
        <v>70</v>
      </c>
    </row>
    <row r="118" spans="1:9" s="271" customFormat="1" x14ac:dyDescent="0.25">
      <c r="A118" s="332" t="s">
        <v>262</v>
      </c>
      <c r="B118" s="401"/>
      <c r="C118" s="269"/>
      <c r="D118" s="91" t="s">
        <v>126</v>
      </c>
      <c r="E118" s="91">
        <v>1</v>
      </c>
      <c r="F118" s="92">
        <v>30000</v>
      </c>
      <c r="G118" s="268">
        <f>E118*F118</f>
        <v>30000</v>
      </c>
    </row>
    <row r="119" spans="1:9" s="271" customFormat="1" ht="24.75" hidden="1" customHeight="1" x14ac:dyDescent="0.25">
      <c r="A119" s="338" t="s">
        <v>235</v>
      </c>
      <c r="B119" s="339"/>
      <c r="C119" s="93"/>
      <c r="D119" s="91" t="s">
        <v>126</v>
      </c>
      <c r="E119" s="91"/>
      <c r="F119" s="92"/>
      <c r="G119" s="268"/>
    </row>
    <row r="120" spans="1:9" hidden="1" x14ac:dyDescent="0.25">
      <c r="A120" s="709" t="s">
        <v>236</v>
      </c>
      <c r="B120" s="710"/>
      <c r="C120" s="93"/>
      <c r="D120" s="400" t="s">
        <v>127</v>
      </c>
      <c r="E120" s="400"/>
      <c r="F120" s="92"/>
      <c r="G120" s="268"/>
    </row>
    <row r="121" spans="1:9" ht="32.25" customHeight="1" x14ac:dyDescent="0.25">
      <c r="A121" s="711"/>
      <c r="B121" s="711"/>
      <c r="C121" s="399"/>
      <c r="D121" s="396"/>
      <c r="E121" s="396"/>
      <c r="F121" s="92" t="s">
        <v>59</v>
      </c>
      <c r="G121" s="441">
        <f>G118</f>
        <v>30000</v>
      </c>
    </row>
    <row r="122" spans="1:9" ht="32.25" customHeight="1" x14ac:dyDescent="0.25">
      <c r="A122" s="394"/>
      <c r="B122" s="394"/>
      <c r="C122" s="395"/>
      <c r="D122" s="396"/>
      <c r="E122" s="396"/>
      <c r="F122" s="397"/>
      <c r="G122" s="398"/>
    </row>
    <row r="123" spans="1:9" ht="32.25" customHeight="1" x14ac:dyDescent="0.25">
      <c r="A123" s="712" t="str">
        <f>'таланты+инициативы0,28'!A88:F88</f>
        <v xml:space="preserve">Затраты на оплату труда работников, непосредственно НЕ связанных с выполнением работы </v>
      </c>
      <c r="B123" s="712"/>
      <c r="C123" s="712"/>
      <c r="D123" s="712"/>
      <c r="E123" s="712"/>
      <c r="F123" s="712"/>
    </row>
    <row r="124" spans="1:9" s="38" customFormat="1" ht="14.45" customHeight="1" x14ac:dyDescent="0.25">
      <c r="A124" s="593" t="s">
        <v>170</v>
      </c>
      <c r="B124" s="593"/>
      <c r="C124" s="593"/>
      <c r="D124" s="593"/>
      <c r="E124" s="593"/>
      <c r="F124" s="593"/>
      <c r="G124" s="598"/>
      <c r="H124" s="598"/>
      <c r="I124" s="153"/>
    </row>
    <row r="125" spans="1:9" s="38" customFormat="1" ht="15" customHeight="1" x14ac:dyDescent="0.25">
      <c r="A125" s="594" t="s">
        <v>62</v>
      </c>
      <c r="B125" s="597" t="s">
        <v>159</v>
      </c>
      <c r="C125" s="597"/>
      <c r="D125" s="623" t="s">
        <v>163</v>
      </c>
      <c r="E125" s="594" t="s">
        <v>169</v>
      </c>
      <c r="F125" s="626" t="s">
        <v>6</v>
      </c>
      <c r="G125" s="213"/>
      <c r="H125" s="213"/>
    </row>
    <row r="126" spans="1:9" s="38" customFormat="1" ht="15" customHeight="1" x14ac:dyDescent="0.25">
      <c r="A126" s="595"/>
      <c r="B126" s="597"/>
      <c r="C126" s="597"/>
      <c r="D126" s="624"/>
      <c r="E126" s="595"/>
      <c r="F126" s="626"/>
      <c r="G126" s="176"/>
      <c r="H126" s="176"/>
    </row>
    <row r="127" spans="1:9" s="38" customFormat="1" ht="15" x14ac:dyDescent="0.25">
      <c r="A127" s="596"/>
      <c r="B127" s="597"/>
      <c r="C127" s="597"/>
      <c r="D127" s="625"/>
      <c r="E127" s="596"/>
      <c r="F127" s="626"/>
    </row>
    <row r="128" spans="1:9" s="38" customFormat="1" ht="15" x14ac:dyDescent="0.25">
      <c r="A128" s="468">
        <v>1</v>
      </c>
      <c r="B128" s="599">
        <v>2</v>
      </c>
      <c r="C128" s="600"/>
      <c r="D128" s="468">
        <v>5</v>
      </c>
      <c r="E128" s="178">
        <v>6</v>
      </c>
      <c r="F128" s="178">
        <v>7</v>
      </c>
    </row>
    <row r="129" spans="1:10" s="38" customFormat="1" ht="15" x14ac:dyDescent="0.25">
      <c r="A129" s="347" t="s">
        <v>193</v>
      </c>
      <c r="B129" s="465">
        <v>0.31</v>
      </c>
      <c r="C129" s="466">
        <v>1</v>
      </c>
      <c r="D129" s="152">
        <v>442.7</v>
      </c>
      <c r="E129" s="179">
        <f>D129*30.2%</f>
        <v>133.69540000000001</v>
      </c>
      <c r="F129" s="179">
        <f>D129+E129</f>
        <v>576.3954</v>
      </c>
    </row>
    <row r="130" spans="1:10" s="38" customFormat="1" ht="15" x14ac:dyDescent="0.25">
      <c r="A130" s="467"/>
      <c r="B130" s="601">
        <f>B129</f>
        <v>0.31</v>
      </c>
      <c r="C130" s="601"/>
      <c r="D130" s="129">
        <f>SUM(D129:D129)</f>
        <v>442.7</v>
      </c>
      <c r="E130" s="129">
        <f>SUM(E129:E129)</f>
        <v>133.69540000000001</v>
      </c>
      <c r="F130" s="129">
        <f>F129</f>
        <v>576.3954</v>
      </c>
    </row>
    <row r="131" spans="1:10" x14ac:dyDescent="0.25">
      <c r="A131" s="11"/>
      <c r="B131" s="11"/>
      <c r="C131" s="11"/>
      <c r="D131" s="11"/>
      <c r="E131" s="11"/>
      <c r="F131" s="96">
        <f>D51</f>
        <v>0.31</v>
      </c>
    </row>
    <row r="132" spans="1:10" ht="31.5" customHeight="1" x14ac:dyDescent="0.25">
      <c r="A132" s="281" t="s">
        <v>0</v>
      </c>
      <c r="B132" s="576" t="s">
        <v>1</v>
      </c>
      <c r="C132" s="297"/>
      <c r="D132" s="576" t="s">
        <v>2</v>
      </c>
      <c r="E132" s="584" t="s">
        <v>3</v>
      </c>
      <c r="F132" s="585"/>
      <c r="G132" s="591" t="s">
        <v>35</v>
      </c>
      <c r="H132" s="297" t="s">
        <v>5</v>
      </c>
      <c r="I132" s="576" t="s">
        <v>6</v>
      </c>
    </row>
    <row r="133" spans="1:10" ht="30" x14ac:dyDescent="0.25">
      <c r="A133" s="350"/>
      <c r="B133" s="576"/>
      <c r="C133" s="297"/>
      <c r="D133" s="576"/>
      <c r="E133" s="297" t="s">
        <v>230</v>
      </c>
      <c r="F133" s="297" t="s">
        <v>239</v>
      </c>
      <c r="G133" s="591"/>
      <c r="H133" s="297" t="s">
        <v>53</v>
      </c>
      <c r="I133" s="576"/>
    </row>
    <row r="134" spans="1:10" x14ac:dyDescent="0.25">
      <c r="A134" s="351"/>
      <c r="B134" s="576"/>
      <c r="C134" s="297"/>
      <c r="D134" s="576"/>
      <c r="E134" s="297" t="s">
        <v>4</v>
      </c>
      <c r="F134" s="53"/>
      <c r="G134" s="591"/>
      <c r="H134" s="297" t="s">
        <v>231</v>
      </c>
      <c r="I134" s="576"/>
    </row>
    <row r="135" spans="1:10" x14ac:dyDescent="0.25">
      <c r="A135" s="701">
        <v>1</v>
      </c>
      <c r="B135" s="576">
        <v>2</v>
      </c>
      <c r="C135" s="297"/>
      <c r="D135" s="576">
        <v>3</v>
      </c>
      <c r="E135" s="576" t="s">
        <v>229</v>
      </c>
      <c r="F135" s="576">
        <v>5</v>
      </c>
      <c r="G135" s="591" t="s">
        <v>7</v>
      </c>
      <c r="H135" s="297" t="s">
        <v>54</v>
      </c>
      <c r="I135" s="576" t="s">
        <v>55</v>
      </c>
    </row>
    <row r="136" spans="1:10" x14ac:dyDescent="0.25">
      <c r="A136" s="701"/>
      <c r="B136" s="576"/>
      <c r="C136" s="297"/>
      <c r="D136" s="576"/>
      <c r="E136" s="576"/>
      <c r="F136" s="576"/>
      <c r="G136" s="591"/>
      <c r="H136" s="54">
        <v>1780.6</v>
      </c>
      <c r="I136" s="576"/>
    </row>
    <row r="137" spans="1:10" x14ac:dyDescent="0.25">
      <c r="A137" s="352" t="str">
        <f>'инновации+добровольчество0,41'!A188</f>
        <v>Заведующий МЦ</v>
      </c>
      <c r="B137" s="88">
        <v>73188.34</v>
      </c>
      <c r="C137" s="88"/>
      <c r="D137" s="297">
        <f>1*F131</f>
        <v>0.31</v>
      </c>
      <c r="E137" s="56">
        <f>D137*1780.6</f>
        <v>551.98599999999999</v>
      </c>
      <c r="F137" s="57">
        <v>1</v>
      </c>
      <c r="G137" s="58">
        <f>E137/F137</f>
        <v>551.98599999999999</v>
      </c>
      <c r="H137" s="56">
        <f>B137*1.302/1780.6*12</f>
        <v>642.19623955969905</v>
      </c>
      <c r="I137" s="56">
        <f>G137*H137</f>
        <v>354483.33348960005</v>
      </c>
    </row>
    <row r="138" spans="1:10" x14ac:dyDescent="0.25">
      <c r="A138" s="352" t="str">
        <f>'инновации+добровольчество0,41'!A189</f>
        <v>Водитель</v>
      </c>
      <c r="B138" s="37">
        <v>27899</v>
      </c>
      <c r="C138" s="173"/>
      <c r="D138" s="297">
        <f>1*F131</f>
        <v>0.31</v>
      </c>
      <c r="E138" s="56">
        <f t="shared" ref="E138:E140" si="2">D138*1780.6</f>
        <v>551.98599999999999</v>
      </c>
      <c r="F138" s="57">
        <v>1</v>
      </c>
      <c r="G138" s="58">
        <f t="shared" ref="G138:G140" si="3">E138/F138</f>
        <v>551.98599999999999</v>
      </c>
      <c r="H138" s="56">
        <f t="shared" ref="H138:H140" si="4">B138*1.302/1780.6*12</f>
        <v>244.80173873975065</v>
      </c>
      <c r="I138" s="56">
        <f>G138*H138</f>
        <v>135127.13256</v>
      </c>
    </row>
    <row r="139" spans="1:10" x14ac:dyDescent="0.25">
      <c r="A139" s="352" t="str">
        <f>'инновации+добровольчество0,41'!A190</f>
        <v>Рабочий по обслуживанию здания</v>
      </c>
      <c r="B139" s="58">
        <v>27899</v>
      </c>
      <c r="C139" s="58"/>
      <c r="D139" s="297">
        <f>0.5*F131</f>
        <v>0.155</v>
      </c>
      <c r="E139" s="56">
        <f t="shared" si="2"/>
        <v>275.99299999999999</v>
      </c>
      <c r="F139" s="57">
        <v>1</v>
      </c>
      <c r="G139" s="58">
        <f t="shared" si="3"/>
        <v>275.99299999999999</v>
      </c>
      <c r="H139" s="56">
        <f t="shared" si="4"/>
        <v>244.80173873975065</v>
      </c>
      <c r="I139" s="56">
        <f>G139*H139</f>
        <v>67563.566279999999</v>
      </c>
    </row>
    <row r="140" spans="1:10" x14ac:dyDescent="0.25">
      <c r="A140" s="352" t="str">
        <f>'инновации+добровольчество0,41'!A191</f>
        <v>Уборщик служебных помещений</v>
      </c>
      <c r="B140" s="37">
        <v>27899</v>
      </c>
      <c r="C140" s="299"/>
      <c r="D140" s="297">
        <f>1*F131</f>
        <v>0.31</v>
      </c>
      <c r="E140" s="56">
        <f t="shared" si="2"/>
        <v>551.98599999999999</v>
      </c>
      <c r="F140" s="57">
        <v>1</v>
      </c>
      <c r="G140" s="58">
        <f t="shared" si="3"/>
        <v>551.98599999999999</v>
      </c>
      <c r="H140" s="56">
        <f t="shared" si="4"/>
        <v>244.80173873975065</v>
      </c>
      <c r="I140" s="56">
        <f>G140*H140</f>
        <v>135127.13256</v>
      </c>
      <c r="J140" s="169"/>
    </row>
    <row r="141" spans="1:10" x14ac:dyDescent="0.25">
      <c r="A141" s="713" t="s">
        <v>28</v>
      </c>
      <c r="B141" s="714"/>
      <c r="C141" s="714"/>
      <c r="D141" s="714"/>
      <c r="E141" s="714"/>
      <c r="F141" s="715"/>
      <c r="G141" s="317"/>
      <c r="H141" s="317"/>
      <c r="I141" s="349">
        <f>SUM(I137:I140)</f>
        <v>692301.16488960013</v>
      </c>
    </row>
    <row r="142" spans="1:10" x14ac:dyDescent="0.25">
      <c r="A142" s="353"/>
      <c r="B142" s="353"/>
      <c r="C142" s="353"/>
      <c r="D142" s="354"/>
      <c r="E142" s="354"/>
      <c r="F142" s="354"/>
      <c r="G142" s="354"/>
      <c r="H142" s="354"/>
      <c r="I142" s="355"/>
    </row>
    <row r="143" spans="1:10" s="45" customFormat="1" ht="14.45" customHeight="1" x14ac:dyDescent="0.25">
      <c r="A143" s="327" t="s">
        <v>185</v>
      </c>
      <c r="B143" s="327"/>
      <c r="C143" s="327"/>
      <c r="D143" s="328"/>
      <c r="E143" s="328"/>
      <c r="F143" s="328"/>
      <c r="G143" s="328"/>
      <c r="H143" s="328"/>
    </row>
    <row r="144" spans="1:10" s="45" customFormat="1" ht="14.45" customHeight="1" x14ac:dyDescent="0.25">
      <c r="A144" s="594" t="s">
        <v>62</v>
      </c>
      <c r="B144" s="631" t="s">
        <v>159</v>
      </c>
      <c r="C144" s="632"/>
      <c r="D144" s="612"/>
      <c r="E144" s="637"/>
      <c r="F144" s="613"/>
      <c r="G144" s="213"/>
      <c r="H144" s="213"/>
    </row>
    <row r="145" spans="1:8" s="45" customFormat="1" ht="14.45" customHeight="1" x14ac:dyDescent="0.25">
      <c r="A145" s="595"/>
      <c r="B145" s="633"/>
      <c r="C145" s="634"/>
      <c r="D145" s="624" t="s">
        <v>163</v>
      </c>
      <c r="E145" s="595" t="s">
        <v>169</v>
      </c>
      <c r="F145" s="595" t="s">
        <v>6</v>
      </c>
    </row>
    <row r="146" spans="1:8" s="45" customFormat="1" ht="15" x14ac:dyDescent="0.25">
      <c r="A146" s="596"/>
      <c r="B146" s="635"/>
      <c r="C146" s="636"/>
      <c r="D146" s="625"/>
      <c r="E146" s="596"/>
      <c r="F146" s="596"/>
    </row>
    <row r="147" spans="1:8" s="45" customFormat="1" ht="15" x14ac:dyDescent="0.25">
      <c r="A147" s="287">
        <v>1</v>
      </c>
      <c r="B147" s="599">
        <v>2</v>
      </c>
      <c r="C147" s="600"/>
      <c r="D147" s="287">
        <v>5</v>
      </c>
      <c r="E147" s="287">
        <v>6</v>
      </c>
      <c r="F147" s="287">
        <v>7</v>
      </c>
    </row>
    <row r="148" spans="1:8" s="45" customFormat="1" ht="15" x14ac:dyDescent="0.25">
      <c r="A148" s="285" t="s">
        <v>166</v>
      </c>
      <c r="B148" s="287">
        <f>F165</f>
        <v>0.31</v>
      </c>
      <c r="C148" s="286"/>
      <c r="D148" s="152">
        <v>5047.62</v>
      </c>
      <c r="E148" s="185">
        <f t="shared" ref="E148:E150" si="5">D148*30.2%</f>
        <v>1524.3812399999999</v>
      </c>
      <c r="F148" s="185">
        <f>D148+E148</f>
        <v>6572.0012399999996</v>
      </c>
    </row>
    <row r="149" spans="1:8" s="45" customFormat="1" ht="15" x14ac:dyDescent="0.25">
      <c r="A149" s="285" t="s">
        <v>167</v>
      </c>
      <c r="B149" s="287">
        <f>0.5*F131</f>
        <v>0.155</v>
      </c>
      <c r="C149" s="286"/>
      <c r="D149" s="152">
        <v>2523.81</v>
      </c>
      <c r="E149" s="185">
        <f t="shared" si="5"/>
        <v>762.19061999999997</v>
      </c>
      <c r="F149" s="185">
        <f t="shared" ref="F149:F150" si="6">D149+E149</f>
        <v>3286.0006199999998</v>
      </c>
    </row>
    <row r="150" spans="1:8" s="45" customFormat="1" ht="15" x14ac:dyDescent="0.25">
      <c r="A150" s="285" t="s">
        <v>146</v>
      </c>
      <c r="B150" s="287">
        <f>1*F131</f>
        <v>0.31</v>
      </c>
      <c r="C150" s="286"/>
      <c r="D150" s="152">
        <v>5047.62</v>
      </c>
      <c r="E150" s="185">
        <f t="shared" si="5"/>
        <v>1524.3812399999999</v>
      </c>
      <c r="F150" s="185">
        <f t="shared" si="6"/>
        <v>6572.0012399999996</v>
      </c>
    </row>
    <row r="151" spans="1:8" s="45" customFormat="1" ht="15" x14ac:dyDescent="0.25">
      <c r="A151" s="155"/>
      <c r="B151" s="284"/>
      <c r="C151" s="156"/>
      <c r="D151" s="129">
        <f>SUM(D148:D150)</f>
        <v>12619.05</v>
      </c>
      <c r="E151" s="129">
        <f>SUM(E148:E150)</f>
        <v>3810.9530999999997</v>
      </c>
      <c r="F151" s="263">
        <f>SUM(F148:F150)</f>
        <v>16430.003100000002</v>
      </c>
    </row>
    <row r="152" spans="1:8" s="45" customFormat="1" ht="14.45" hidden="1" customHeight="1" x14ac:dyDescent="0.25">
      <c r="A152" s="327" t="s">
        <v>171</v>
      </c>
      <c r="B152" s="327"/>
      <c r="C152" s="327"/>
      <c r="D152" s="327"/>
      <c r="E152" s="327"/>
      <c r="F152" s="327"/>
      <c r="G152" s="327"/>
      <c r="H152" s="327"/>
    </row>
    <row r="153" spans="1:8" s="45" customFormat="1" ht="14.45" hidden="1" customHeight="1" x14ac:dyDescent="0.25">
      <c r="A153" s="594" t="s">
        <v>62</v>
      </c>
      <c r="B153" s="631" t="s">
        <v>159</v>
      </c>
      <c r="C153" s="704"/>
      <c r="D153" s="329" t="s">
        <v>160</v>
      </c>
      <c r="E153" s="331"/>
      <c r="F153" s="331"/>
      <c r="G153" s="331"/>
      <c r="H153" s="330"/>
    </row>
    <row r="154" spans="1:8" s="45" customFormat="1" ht="14.45" hidden="1" customHeight="1" x14ac:dyDescent="0.25">
      <c r="A154" s="595"/>
      <c r="B154" s="633"/>
      <c r="C154" s="634"/>
      <c r="D154" s="674" t="s">
        <v>161</v>
      </c>
      <c r="E154" s="594" t="s">
        <v>162</v>
      </c>
      <c r="F154" s="623" t="s">
        <v>163</v>
      </c>
      <c r="G154" s="594" t="s">
        <v>169</v>
      </c>
      <c r="H154" s="594" t="s">
        <v>6</v>
      </c>
    </row>
    <row r="155" spans="1:8" s="45" customFormat="1" ht="15" hidden="1" x14ac:dyDescent="0.25">
      <c r="A155" s="596"/>
      <c r="B155" s="635"/>
      <c r="C155" s="636"/>
      <c r="D155" s="702"/>
      <c r="E155" s="596"/>
      <c r="F155" s="625"/>
      <c r="G155" s="596"/>
      <c r="H155" s="596"/>
    </row>
    <row r="156" spans="1:8" s="45" customFormat="1" ht="15" hidden="1" x14ac:dyDescent="0.25">
      <c r="A156" s="287">
        <v>1</v>
      </c>
      <c r="B156" s="599">
        <v>2</v>
      </c>
      <c r="C156" s="600"/>
      <c r="D156" s="287">
        <v>3</v>
      </c>
      <c r="E156" s="287">
        <v>4</v>
      </c>
      <c r="F156" s="287">
        <v>5</v>
      </c>
      <c r="G156" s="287">
        <v>6</v>
      </c>
      <c r="H156" s="287">
        <v>7</v>
      </c>
    </row>
    <row r="157" spans="1:8" s="45" customFormat="1" ht="15" hidden="1" x14ac:dyDescent="0.25">
      <c r="A157" s="285" t="s">
        <v>164</v>
      </c>
      <c r="B157" s="287">
        <v>0.39300000000000002</v>
      </c>
      <c r="C157" s="286">
        <v>1</v>
      </c>
      <c r="D157" s="152">
        <v>30497.8</v>
      </c>
      <c r="E157" s="113">
        <v>41441.4</v>
      </c>
      <c r="F157" s="152">
        <f>30497.8*0.393</f>
        <v>11985.635400000001</v>
      </c>
      <c r="G157" s="185">
        <f>F157*30.2%</f>
        <v>3619.6618908</v>
      </c>
      <c r="H157" s="185">
        <f>F157+G157</f>
        <v>15605.297290800001</v>
      </c>
    </row>
    <row r="158" spans="1:8" s="45" customFormat="1" ht="15" hidden="1" x14ac:dyDescent="0.25">
      <c r="A158" s="285" t="s">
        <v>166</v>
      </c>
      <c r="B158" s="287">
        <f>1*0.393</f>
        <v>0.39300000000000002</v>
      </c>
      <c r="C158" s="286"/>
      <c r="D158" s="152">
        <v>8353.5499999999993</v>
      </c>
      <c r="E158" s="113">
        <v>11244.72</v>
      </c>
      <c r="F158" s="152">
        <f>8353.55*0.393</f>
        <v>3282.94515</v>
      </c>
      <c r="G158" s="185">
        <f>F158*30.2%</f>
        <v>991.4494353</v>
      </c>
      <c r="H158" s="185">
        <f>F158+G158</f>
        <v>4274.3945853000005</v>
      </c>
    </row>
    <row r="159" spans="1:8" s="45" customFormat="1" ht="15" hidden="1" x14ac:dyDescent="0.25">
      <c r="A159" s="285" t="s">
        <v>167</v>
      </c>
      <c r="B159" s="287">
        <f>0.5*0.393</f>
        <v>0.19650000000000001</v>
      </c>
      <c r="C159" s="286"/>
      <c r="D159" s="152">
        <v>3761.62</v>
      </c>
      <c r="E159" s="113">
        <v>4983</v>
      </c>
      <c r="F159" s="152">
        <f>3761.62*0.393</f>
        <v>1478.31666</v>
      </c>
      <c r="G159" s="185">
        <f>F159*30.2%</f>
        <v>446.45163131999999</v>
      </c>
      <c r="H159" s="185">
        <f>F159+G159</f>
        <v>1924.7682913199999</v>
      </c>
    </row>
    <row r="160" spans="1:8" s="45" customFormat="1" ht="15" hidden="1" x14ac:dyDescent="0.25">
      <c r="A160" s="285" t="s">
        <v>146</v>
      </c>
      <c r="B160" s="287">
        <f>1*0.393</f>
        <v>0.39300000000000002</v>
      </c>
      <c r="C160" s="286"/>
      <c r="D160" s="152">
        <v>6266.1</v>
      </c>
      <c r="E160" s="113">
        <v>8398.2000000000007</v>
      </c>
      <c r="F160" s="152">
        <f>6266.1*0.393</f>
        <v>2462.5773000000004</v>
      </c>
      <c r="G160" s="185">
        <f>F160*30.2%</f>
        <v>743.69834460000004</v>
      </c>
      <c r="H160" s="185">
        <f>F160+G160</f>
        <v>3206.2756446000003</v>
      </c>
    </row>
    <row r="161" spans="1:8" s="45" customFormat="1" ht="15" hidden="1" x14ac:dyDescent="0.25">
      <c r="A161" s="285" t="s">
        <v>168</v>
      </c>
      <c r="B161" s="287">
        <f>3*0.393</f>
        <v>1.179</v>
      </c>
      <c r="C161" s="286"/>
      <c r="D161" s="152">
        <v>20749.32</v>
      </c>
      <c r="E161" s="113">
        <v>28148.04</v>
      </c>
      <c r="F161" s="152">
        <f>20749.32*0.393</f>
        <v>8154.4827599999999</v>
      </c>
      <c r="G161" s="185">
        <f>F161*30.2%</f>
        <v>2462.6537935199999</v>
      </c>
      <c r="H161" s="185">
        <f>F161+G161</f>
        <v>10617.13655352</v>
      </c>
    </row>
    <row r="162" spans="1:8" s="45" customFormat="1" ht="18.75" hidden="1" x14ac:dyDescent="0.25">
      <c r="A162" s="155"/>
      <c r="B162" s="284"/>
      <c r="C162" s="156"/>
      <c r="D162" s="129">
        <f>SUM(D157:D161)</f>
        <v>69628.39</v>
      </c>
      <c r="E162" s="129">
        <f>SUM(E157:E161)</f>
        <v>94215.360000000015</v>
      </c>
      <c r="F162" s="129">
        <f>SUM(F157:F161)</f>
        <v>27363.957269999999</v>
      </c>
      <c r="G162" s="129">
        <f>SUM(G157:G161)</f>
        <v>8263.91509554</v>
      </c>
      <c r="H162" s="224"/>
    </row>
    <row r="163" spans="1:8" s="45" customFormat="1" ht="18.75" x14ac:dyDescent="0.25">
      <c r="A163" s="358"/>
      <c r="B163" s="359"/>
      <c r="C163" s="359"/>
      <c r="D163" s="360"/>
      <c r="E163" s="360"/>
      <c r="F163" s="360"/>
      <c r="G163" s="212"/>
      <c r="H163" s="215"/>
    </row>
    <row r="164" spans="1:8" ht="15.6" customHeight="1" x14ac:dyDescent="0.25">
      <c r="A164" s="630" t="s">
        <v>12</v>
      </c>
      <c r="B164" s="630"/>
      <c r="C164" s="630"/>
      <c r="D164" s="630"/>
      <c r="E164" s="630"/>
      <c r="F164" s="630"/>
      <c r="H164" s="169"/>
    </row>
    <row r="165" spans="1:8" x14ac:dyDescent="0.25">
      <c r="A165" s="163"/>
      <c r="B165" s="163"/>
      <c r="C165" s="163"/>
      <c r="D165" s="163"/>
      <c r="E165" s="163"/>
      <c r="F165" s="164">
        <f>F131</f>
        <v>0.31</v>
      </c>
    </row>
    <row r="166" spans="1:8" ht="15.75" customHeight="1" x14ac:dyDescent="0.25">
      <c r="A166" s="701" t="s">
        <v>13</v>
      </c>
      <c r="B166" s="701" t="s">
        <v>11</v>
      </c>
      <c r="C166" s="321"/>
      <c r="D166" s="701" t="s">
        <v>14</v>
      </c>
      <c r="E166" s="701" t="s">
        <v>15</v>
      </c>
      <c r="F166" s="705" t="s">
        <v>6</v>
      </c>
    </row>
    <row r="167" spans="1:8" x14ac:dyDescent="0.25">
      <c r="A167" s="701"/>
      <c r="B167" s="701"/>
      <c r="C167" s="321"/>
      <c r="D167" s="701"/>
      <c r="E167" s="701"/>
      <c r="F167" s="706"/>
    </row>
    <row r="168" spans="1:8" x14ac:dyDescent="0.25">
      <c r="A168" s="279">
        <v>1</v>
      </c>
      <c r="B168" s="279">
        <v>2</v>
      </c>
      <c r="C168" s="279"/>
      <c r="D168" s="279">
        <v>3</v>
      </c>
      <c r="E168" s="279">
        <v>4</v>
      </c>
      <c r="F168" s="279" t="s">
        <v>178</v>
      </c>
    </row>
    <row r="169" spans="1:8" x14ac:dyDescent="0.25">
      <c r="A169" s="380" t="s">
        <v>17</v>
      </c>
      <c r="B169" s="321" t="s">
        <v>18</v>
      </c>
      <c r="C169" s="321"/>
      <c r="D169" s="77">
        <f>55*F165</f>
        <v>17.05</v>
      </c>
      <c r="E169" s="357">
        <v>3245.16</v>
      </c>
      <c r="F169" s="77">
        <f>D169*E169</f>
        <v>55329.978000000003</v>
      </c>
    </row>
    <row r="170" spans="1:8" ht="18.75" x14ac:dyDescent="0.25">
      <c r="A170" s="380" t="s">
        <v>247</v>
      </c>
      <c r="B170" s="321" t="s">
        <v>199</v>
      </c>
      <c r="C170" s="321"/>
      <c r="D170" s="321">
        <f>106.3*F165</f>
        <v>32.952999999999996</v>
      </c>
      <c r="E170" s="357">
        <v>46.7</v>
      </c>
      <c r="F170" s="77">
        <f>D170*E170+14.98</f>
        <v>1553.8851</v>
      </c>
    </row>
    <row r="171" spans="1:8" ht="18.75" x14ac:dyDescent="0.25">
      <c r="A171" s="380" t="s">
        <v>248</v>
      </c>
      <c r="B171" s="321" t="s">
        <v>56</v>
      </c>
      <c r="C171" s="321"/>
      <c r="D171" s="321">
        <f>6*F165</f>
        <v>1.8599999999999999</v>
      </c>
      <c r="E171" s="357">
        <v>9000</v>
      </c>
      <c r="F171" s="77">
        <f t="shared" ref="F171:F174" si="7">D171*E171</f>
        <v>16740</v>
      </c>
    </row>
    <row r="172" spans="1:8" x14ac:dyDescent="0.25">
      <c r="A172" s="380" t="s">
        <v>16</v>
      </c>
      <c r="B172" s="321" t="s">
        <v>87</v>
      </c>
      <c r="C172" s="321"/>
      <c r="D172" s="98">
        <f>6*F165</f>
        <v>1.8599999999999999</v>
      </c>
      <c r="E172" s="357">
        <v>7728</v>
      </c>
      <c r="F172" s="77">
        <f t="shared" si="7"/>
        <v>14374.08</v>
      </c>
    </row>
    <row r="173" spans="1:8" x14ac:dyDescent="0.25">
      <c r="A173" s="380" t="s">
        <v>209</v>
      </c>
      <c r="B173" s="303" t="s">
        <v>22</v>
      </c>
      <c r="C173" s="287"/>
      <c r="D173" s="170">
        <f>3.636*F165</f>
        <v>1.1271599999999999</v>
      </c>
      <c r="E173" s="357">
        <v>2170.58</v>
      </c>
      <c r="F173" s="77">
        <f t="shared" si="7"/>
        <v>2446.5909527999997</v>
      </c>
    </row>
    <row r="174" spans="1:8" x14ac:dyDescent="0.25">
      <c r="A174" s="380" t="s">
        <v>249</v>
      </c>
      <c r="B174" s="321" t="s">
        <v>87</v>
      </c>
      <c r="C174" s="287"/>
      <c r="D174" s="170">
        <f>3.348*F165</f>
        <v>1.0378799999999999</v>
      </c>
      <c r="E174" s="357">
        <v>7728</v>
      </c>
      <c r="F174" s="77">
        <f t="shared" si="7"/>
        <v>8020.7366399999992</v>
      </c>
    </row>
    <row r="175" spans="1:8" ht="18.75" x14ac:dyDescent="0.25">
      <c r="A175" s="700"/>
      <c r="B175" s="700"/>
      <c r="C175" s="700"/>
      <c r="D175" s="700"/>
      <c r="E175" s="700"/>
      <c r="F175" s="445">
        <f>SUM(F169:F174)</f>
        <v>98465.270692800012</v>
      </c>
    </row>
    <row r="176" spans="1:8" x14ac:dyDescent="0.25">
      <c r="A176" s="96"/>
      <c r="B176" s="96"/>
      <c r="C176" s="96"/>
      <c r="D176" s="96"/>
      <c r="E176" s="96"/>
      <c r="F176" s="97"/>
    </row>
    <row r="177" spans="1:7" x14ac:dyDescent="0.25">
      <c r="A177" s="703" t="s">
        <v>114</v>
      </c>
      <c r="B177" s="703"/>
      <c r="C177" s="703"/>
      <c r="D177" s="703"/>
      <c r="E177" s="703"/>
      <c r="F177" s="703"/>
      <c r="G177" s="187"/>
    </row>
    <row r="178" spans="1:7" ht="38.25" x14ac:dyDescent="0.25">
      <c r="A178" s="285" t="s">
        <v>115</v>
      </c>
      <c r="B178" s="287" t="s">
        <v>116</v>
      </c>
      <c r="C178" s="307"/>
      <c r="D178" s="287" t="s">
        <v>120</v>
      </c>
      <c r="E178" s="287" t="s">
        <v>117</v>
      </c>
      <c r="F178" s="287" t="s">
        <v>118</v>
      </c>
      <c r="G178" s="300" t="s">
        <v>6</v>
      </c>
    </row>
    <row r="179" spans="1:7" x14ac:dyDescent="0.25">
      <c r="A179" s="285">
        <v>1</v>
      </c>
      <c r="B179" s="287">
        <v>2</v>
      </c>
      <c r="C179" s="307"/>
      <c r="D179" s="287">
        <v>3</v>
      </c>
      <c r="E179" s="287">
        <v>4</v>
      </c>
      <c r="F179" s="287">
        <v>5</v>
      </c>
      <c r="G179" s="326" t="s">
        <v>232</v>
      </c>
    </row>
    <row r="180" spans="1:7" x14ac:dyDescent="0.25">
      <c r="A180" s="287" t="s">
        <v>119</v>
      </c>
      <c r="B180" s="287">
        <f>'инновации+добровольчество0,41'!B216</f>
        <v>3</v>
      </c>
      <c r="C180" s="287">
        <f>'инновации+добровольчество0,41'!C216</f>
        <v>0</v>
      </c>
      <c r="D180" s="287">
        <f>'инновации+добровольчество0,41'!D216</f>
        <v>12</v>
      </c>
      <c r="E180" s="287">
        <f>'инновации+добровольчество0,41'!E216</f>
        <v>75</v>
      </c>
      <c r="F180" s="113">
        <f>'инновации+добровольчество0,41'!F216</f>
        <v>2700</v>
      </c>
      <c r="G180" s="166">
        <f>F180*D187</f>
        <v>837</v>
      </c>
    </row>
    <row r="181" spans="1:7" ht="18.75" x14ac:dyDescent="0.25">
      <c r="A181" s="128"/>
      <c r="B181" s="128"/>
      <c r="C181" s="128"/>
      <c r="D181" s="128"/>
      <c r="E181" s="284" t="s">
        <v>92</v>
      </c>
      <c r="F181" s="129"/>
      <c r="G181" s="443">
        <f>G180</f>
        <v>837</v>
      </c>
    </row>
    <row r="182" spans="1:7" x14ac:dyDescent="0.25">
      <c r="A182" s="96"/>
      <c r="B182" s="96"/>
      <c r="C182" s="96"/>
      <c r="D182" s="96"/>
      <c r="E182" s="96"/>
      <c r="F182" s="97"/>
    </row>
    <row r="183" spans="1:7" x14ac:dyDescent="0.25">
      <c r="A183" s="96"/>
      <c r="B183" s="96"/>
      <c r="C183" s="96"/>
      <c r="D183" s="96"/>
      <c r="E183" s="96"/>
      <c r="F183" s="97"/>
    </row>
    <row r="184" spans="1:7" x14ac:dyDescent="0.25">
      <c r="A184" s="96"/>
      <c r="B184" s="96"/>
      <c r="C184" s="96"/>
      <c r="D184" s="96"/>
      <c r="E184" s="96"/>
      <c r="F184" s="97"/>
    </row>
    <row r="185" spans="1:7" x14ac:dyDescent="0.25">
      <c r="A185" s="680" t="s">
        <v>244</v>
      </c>
      <c r="B185" s="680"/>
      <c r="C185" s="680"/>
      <c r="D185" s="680"/>
      <c r="E185" s="680"/>
      <c r="F185" s="680"/>
    </row>
    <row r="186" spans="1:7" x14ac:dyDescent="0.25">
      <c r="A186" s="320" t="s">
        <v>85</v>
      </c>
      <c r="B186" s="6" t="s">
        <v>548</v>
      </c>
      <c r="C186" s="6"/>
      <c r="D186" s="6"/>
    </row>
    <row r="187" spans="1:7" x14ac:dyDescent="0.25">
      <c r="D187" s="160">
        <f>F165</f>
        <v>0.31</v>
      </c>
    </row>
    <row r="188" spans="1:7" ht="13.15" customHeight="1" x14ac:dyDescent="0.25">
      <c r="A188" s="673" t="s">
        <v>27</v>
      </c>
      <c r="B188" s="673"/>
      <c r="C188" s="311"/>
      <c r="D188" s="673" t="s">
        <v>11</v>
      </c>
      <c r="E188" s="311" t="s">
        <v>49</v>
      </c>
      <c r="F188" s="311" t="s">
        <v>15</v>
      </c>
      <c r="G188" s="681" t="s">
        <v>6</v>
      </c>
    </row>
    <row r="189" spans="1:7" x14ac:dyDescent="0.25">
      <c r="A189" s="673"/>
      <c r="B189" s="673"/>
      <c r="C189" s="311"/>
      <c r="D189" s="673"/>
      <c r="E189" s="311"/>
      <c r="F189" s="311"/>
      <c r="G189" s="682"/>
    </row>
    <row r="190" spans="1:7" x14ac:dyDescent="0.25">
      <c r="A190" s="670">
        <v>1</v>
      </c>
      <c r="B190" s="672"/>
      <c r="C190" s="312"/>
      <c r="D190" s="311">
        <v>2</v>
      </c>
      <c r="E190" s="311">
        <v>3</v>
      </c>
      <c r="F190" s="311">
        <v>4</v>
      </c>
      <c r="G190" s="78" t="s">
        <v>70</v>
      </c>
    </row>
    <row r="191" spans="1:7" x14ac:dyDescent="0.25">
      <c r="A191" s="675" t="str">
        <f>A54</f>
        <v>Суточные</v>
      </c>
      <c r="B191" s="676"/>
      <c r="C191" s="314"/>
      <c r="D191" s="311" t="str">
        <f>D54</f>
        <v>сутки</v>
      </c>
      <c r="E191" s="227">
        <f>5*D187*4</f>
        <v>6.2</v>
      </c>
      <c r="F191" s="324">
        <f>F54</f>
        <v>450</v>
      </c>
      <c r="G191" s="82">
        <f>E191*F191</f>
        <v>2790</v>
      </c>
    </row>
    <row r="192" spans="1:7" x14ac:dyDescent="0.25">
      <c r="A192" s="675" t="str">
        <f>A55</f>
        <v>Проезд</v>
      </c>
      <c r="B192" s="676"/>
      <c r="C192" s="314"/>
      <c r="D192" s="311" t="str">
        <f>D55</f>
        <v xml:space="preserve">Ед. </v>
      </c>
      <c r="E192" s="227">
        <f>5*D187</f>
        <v>1.55</v>
      </c>
      <c r="F192" s="324">
        <f>F55</f>
        <v>6000</v>
      </c>
      <c r="G192" s="82">
        <f>E192*F192</f>
        <v>9300</v>
      </c>
    </row>
    <row r="193" spans="1:7" x14ac:dyDescent="0.25">
      <c r="A193" s="675" t="str">
        <f>A56</f>
        <v xml:space="preserve">Проживание </v>
      </c>
      <c r="B193" s="676"/>
      <c r="C193" s="314"/>
      <c r="D193" s="311" t="str">
        <f>D56</f>
        <v>сутки</v>
      </c>
      <c r="E193" s="227">
        <f>5*3*D187</f>
        <v>4.6500000000000004</v>
      </c>
      <c r="F193" s="324">
        <f>F56</f>
        <v>1509</v>
      </c>
      <c r="G193" s="82">
        <f>E193*F193</f>
        <v>7016.85</v>
      </c>
    </row>
    <row r="194" spans="1:7" ht="18.75" x14ac:dyDescent="0.25">
      <c r="A194" s="677" t="s">
        <v>123</v>
      </c>
      <c r="B194" s="678"/>
      <c r="C194" s="322"/>
      <c r="D194" s="79"/>
      <c r="E194" s="83"/>
      <c r="F194" s="83"/>
      <c r="G194" s="259">
        <f>SUM(G191:G193)</f>
        <v>19106.849999999999</v>
      </c>
    </row>
    <row r="195" spans="1:7" x14ac:dyDescent="0.25">
      <c r="A195" s="693" t="s">
        <v>36</v>
      </c>
      <c r="B195" s="693"/>
      <c r="C195" s="693"/>
      <c r="D195" s="693"/>
      <c r="E195" s="693"/>
      <c r="F195" s="693"/>
    </row>
    <row r="196" spans="1:7" x14ac:dyDescent="0.25">
      <c r="D196" s="167">
        <f>D187</f>
        <v>0.31</v>
      </c>
    </row>
    <row r="197" spans="1:7" x14ac:dyDescent="0.25">
      <c r="A197" s="673" t="s">
        <v>24</v>
      </c>
      <c r="B197" s="673" t="s">
        <v>11</v>
      </c>
      <c r="C197" s="311"/>
      <c r="D197" s="673" t="s">
        <v>49</v>
      </c>
      <c r="E197" s="673" t="s">
        <v>15</v>
      </c>
      <c r="F197" s="668" t="s">
        <v>181</v>
      </c>
      <c r="G197" s="681" t="s">
        <v>6</v>
      </c>
    </row>
    <row r="198" spans="1:7" x14ac:dyDescent="0.25">
      <c r="A198" s="673"/>
      <c r="B198" s="673"/>
      <c r="C198" s="311"/>
      <c r="D198" s="673"/>
      <c r="E198" s="673"/>
      <c r="F198" s="669"/>
      <c r="G198" s="682"/>
    </row>
    <row r="199" spans="1:7" x14ac:dyDescent="0.25">
      <c r="A199" s="311">
        <v>1</v>
      </c>
      <c r="B199" s="311">
        <v>2</v>
      </c>
      <c r="C199" s="311"/>
      <c r="D199" s="311">
        <v>3</v>
      </c>
      <c r="E199" s="311">
        <v>4</v>
      </c>
      <c r="F199" s="311">
        <v>5</v>
      </c>
      <c r="G199" s="78" t="s">
        <v>71</v>
      </c>
    </row>
    <row r="200" spans="1:7" x14ac:dyDescent="0.25">
      <c r="A200" s="55" t="str">
        <f>'инновации+добровольчество0,41'!A246</f>
        <v>переговоры по району, мин</v>
      </c>
      <c r="B200" s="297" t="s">
        <v>22</v>
      </c>
      <c r="C200" s="287"/>
      <c r="D200" s="364">
        <f>110.71*D196</f>
        <v>34.320099999999996</v>
      </c>
      <c r="E200" s="300">
        <f>'инновации+добровольчество0,41'!E246</f>
        <v>6.6</v>
      </c>
      <c r="F200" s="297">
        <v>12</v>
      </c>
      <c r="G200" s="82">
        <f t="shared" ref="G200:G203" si="8">D200*E200*F200</f>
        <v>2718.1519199999993</v>
      </c>
    </row>
    <row r="201" spans="1:7" x14ac:dyDescent="0.25">
      <c r="A201" s="55" t="str">
        <f>'инновации+добровольчество0,41'!A247</f>
        <v>Переговоры за пределами района,мин</v>
      </c>
      <c r="B201" s="297" t="s">
        <v>22</v>
      </c>
      <c r="C201" s="287"/>
      <c r="D201" s="361">
        <f>10.02*D196</f>
        <v>3.1061999999999999</v>
      </c>
      <c r="E201" s="300">
        <f>'инновации+добровольчество0,41'!E247</f>
        <v>15</v>
      </c>
      <c r="F201" s="297">
        <v>12</v>
      </c>
      <c r="G201" s="82">
        <f t="shared" si="8"/>
        <v>559.11599999999999</v>
      </c>
    </row>
    <row r="202" spans="1:7" x14ac:dyDescent="0.25">
      <c r="A202" s="55" t="str">
        <f>'инновации+добровольчество0,41'!A248</f>
        <v>Абоненская плата за услуги связи, номеров</v>
      </c>
      <c r="B202" s="297" t="s">
        <v>22</v>
      </c>
      <c r="C202" s="287"/>
      <c r="D202" s="362">
        <f>1*D196</f>
        <v>0.31</v>
      </c>
      <c r="E202" s="300">
        <f>'инновации+добровольчество0,41'!E248</f>
        <v>2183</v>
      </c>
      <c r="F202" s="297">
        <v>12</v>
      </c>
      <c r="G202" s="82">
        <f t="shared" si="8"/>
        <v>8120.76</v>
      </c>
    </row>
    <row r="203" spans="1:7" x14ac:dyDescent="0.25">
      <c r="A203" s="55" t="str">
        <f>'инновации+добровольчество0,41'!A249</f>
        <v xml:space="preserve">Абоненская плата за услуги Интернет </v>
      </c>
      <c r="B203" s="297" t="s">
        <v>22</v>
      </c>
      <c r="C203" s="287"/>
      <c r="D203" s="362">
        <f>1*D196</f>
        <v>0.31</v>
      </c>
      <c r="E203" s="300">
        <f>'инновации+добровольчество0,41'!E249</f>
        <v>8166.67</v>
      </c>
      <c r="F203" s="297">
        <v>12</v>
      </c>
      <c r="G203" s="82">
        <f t="shared" si="8"/>
        <v>30380.0124</v>
      </c>
    </row>
    <row r="204" spans="1:7" x14ac:dyDescent="0.25">
      <c r="A204" s="55" t="str">
        <f>'инновации+добровольчество0,41'!A250</f>
        <v>Почтовые конверты</v>
      </c>
      <c r="B204" s="297" t="s">
        <v>88</v>
      </c>
      <c r="C204" s="287"/>
      <c r="D204" s="362">
        <f>170*D196</f>
        <v>52.7</v>
      </c>
      <c r="E204" s="300">
        <f>'инновации+добровольчество0,41'!E250</f>
        <v>30.77</v>
      </c>
      <c r="F204" s="297">
        <v>1</v>
      </c>
      <c r="G204" s="82">
        <f>D204*E204*F204+0.38</f>
        <v>1621.9590000000003</v>
      </c>
    </row>
    <row r="205" spans="1:7" ht="18.75" x14ac:dyDescent="0.3">
      <c r="A205" s="689" t="s">
        <v>26</v>
      </c>
      <c r="B205" s="689"/>
      <c r="C205" s="689"/>
      <c r="D205" s="689"/>
      <c r="E205" s="689"/>
      <c r="F205" s="689"/>
      <c r="G205" s="261">
        <f>SUM(G200:G204)</f>
        <v>43399.999320000003</v>
      </c>
    </row>
    <row r="206" spans="1:7" x14ac:dyDescent="0.25">
      <c r="A206" s="693" t="s">
        <v>57</v>
      </c>
      <c r="B206" s="693"/>
      <c r="C206" s="693"/>
      <c r="D206" s="693"/>
      <c r="E206" s="693"/>
      <c r="F206" s="693"/>
    </row>
    <row r="207" spans="1:7" x14ac:dyDescent="0.25">
      <c r="D207" s="167">
        <f>D196</f>
        <v>0.31</v>
      </c>
    </row>
    <row r="208" spans="1:7" x14ac:dyDescent="0.25">
      <c r="A208" s="673" t="s">
        <v>200</v>
      </c>
      <c r="B208" s="673" t="s">
        <v>11</v>
      </c>
      <c r="C208" s="311"/>
      <c r="D208" s="673" t="s">
        <v>49</v>
      </c>
      <c r="E208" s="673" t="s">
        <v>15</v>
      </c>
      <c r="F208" s="668" t="s">
        <v>25</v>
      </c>
      <c r="G208" s="681" t="s">
        <v>6</v>
      </c>
    </row>
    <row r="209" spans="1:12" x14ac:dyDescent="0.25">
      <c r="A209" s="673"/>
      <c r="B209" s="673"/>
      <c r="C209" s="311"/>
      <c r="D209" s="673"/>
      <c r="E209" s="673"/>
      <c r="F209" s="669"/>
      <c r="G209" s="682"/>
    </row>
    <row r="210" spans="1:12" x14ac:dyDescent="0.25">
      <c r="A210" s="311">
        <v>1</v>
      </c>
      <c r="B210" s="311">
        <v>2</v>
      </c>
      <c r="C210" s="311"/>
      <c r="D210" s="311">
        <v>3</v>
      </c>
      <c r="E210" s="311">
        <v>4</v>
      </c>
      <c r="F210" s="311">
        <v>5</v>
      </c>
      <c r="G210" s="82" t="s">
        <v>72</v>
      </c>
    </row>
    <row r="211" spans="1:12" hidden="1" x14ac:dyDescent="0.25">
      <c r="A211" s="127" t="s">
        <v>210</v>
      </c>
      <c r="B211" s="297" t="s">
        <v>126</v>
      </c>
      <c r="C211" s="311"/>
      <c r="D211" s="311">
        <v>0</v>
      </c>
      <c r="E211" s="311">
        <f>'инновации+добровольчество0,41'!E257</f>
        <v>0</v>
      </c>
      <c r="F211" s="311">
        <v>1</v>
      </c>
      <c r="G211" s="82">
        <f>D211*E211*F211</f>
        <v>0</v>
      </c>
    </row>
    <row r="212" spans="1:12" x14ac:dyDescent="0.25">
      <c r="A212" s="73" t="s">
        <v>182</v>
      </c>
      <c r="B212" s="311" t="s">
        <v>22</v>
      </c>
      <c r="C212" s="311"/>
      <c r="D212" s="311">
        <f>1*D207</f>
        <v>0.31</v>
      </c>
      <c r="E212" s="324">
        <f>'инновации+добровольчество0,41'!E258</f>
        <v>19000</v>
      </c>
      <c r="F212" s="311">
        <v>1</v>
      </c>
      <c r="G212" s="82">
        <f>D212*E212*F212</f>
        <v>5890</v>
      </c>
    </row>
    <row r="213" spans="1:12" ht="18.75" x14ac:dyDescent="0.25">
      <c r="A213" s="689" t="s">
        <v>58</v>
      </c>
      <c r="B213" s="689"/>
      <c r="C213" s="689"/>
      <c r="D213" s="689"/>
      <c r="E213" s="689"/>
      <c r="F213" s="689"/>
      <c r="G213" s="259">
        <f>SUM(G211:G212)</f>
        <v>5890</v>
      </c>
    </row>
    <row r="214" spans="1:12" ht="18.75" x14ac:dyDescent="0.3">
      <c r="A214" s="693" t="s">
        <v>19</v>
      </c>
      <c r="B214" s="693"/>
      <c r="C214" s="693"/>
      <c r="D214" s="693"/>
      <c r="E214" s="693"/>
      <c r="F214" s="693"/>
      <c r="G214" s="188"/>
    </row>
    <row r="215" spans="1:12" x14ac:dyDescent="0.25">
      <c r="D215" s="167">
        <f>D207</f>
        <v>0.31</v>
      </c>
      <c r="H215" s="6"/>
      <c r="I215" s="6"/>
      <c r="J215" s="6"/>
      <c r="K215" s="6"/>
      <c r="L215" s="6"/>
    </row>
    <row r="216" spans="1:12" ht="15.75" customHeight="1" x14ac:dyDescent="0.25">
      <c r="A216" s="673" t="s">
        <v>21</v>
      </c>
      <c r="B216" s="673" t="s">
        <v>11</v>
      </c>
      <c r="C216" s="311"/>
      <c r="D216" s="673" t="s">
        <v>14</v>
      </c>
      <c r="E216" s="673" t="s">
        <v>15</v>
      </c>
      <c r="F216" s="668" t="s">
        <v>6</v>
      </c>
      <c r="H216" s="6"/>
      <c r="I216" s="6"/>
      <c r="J216" s="6"/>
      <c r="K216" s="6"/>
      <c r="L216" s="6"/>
    </row>
    <row r="217" spans="1:12" x14ac:dyDescent="0.25">
      <c r="A217" s="673"/>
      <c r="B217" s="673"/>
      <c r="C217" s="311"/>
      <c r="D217" s="673"/>
      <c r="E217" s="673"/>
      <c r="F217" s="669"/>
      <c r="H217" s="6"/>
      <c r="I217" s="6"/>
      <c r="J217" s="6"/>
      <c r="K217" s="6"/>
      <c r="L217" s="6"/>
    </row>
    <row r="218" spans="1:12" x14ac:dyDescent="0.25">
      <c r="A218" s="311">
        <v>1</v>
      </c>
      <c r="B218" s="311">
        <v>2</v>
      </c>
      <c r="C218" s="311"/>
      <c r="D218" s="492">
        <v>3</v>
      </c>
      <c r="E218" s="311">
        <v>7</v>
      </c>
      <c r="F218" s="311" t="s">
        <v>179</v>
      </c>
      <c r="H218" s="6"/>
      <c r="I218" s="6"/>
      <c r="J218" s="6"/>
      <c r="K218" s="6"/>
      <c r="L218" s="6"/>
    </row>
    <row r="219" spans="1:12" x14ac:dyDescent="0.25">
      <c r="A219" s="76" t="str">
        <f>'инновации+добровольчество0,41'!A266</f>
        <v xml:space="preserve">Мониторинг систем пожарной сигнализации  </v>
      </c>
      <c r="B219" s="297" t="s">
        <v>22</v>
      </c>
      <c r="C219" s="311"/>
      <c r="D219" s="743">
        <f>12*0.31</f>
        <v>3.7199999999999998</v>
      </c>
      <c r="E219" s="493">
        <f>'инновации+добровольчество0,41'!E266</f>
        <v>2000</v>
      </c>
      <c r="F219" s="493">
        <f t="shared" ref="F219:F244" si="9">D219*E219</f>
        <v>7439.9999999999991</v>
      </c>
      <c r="H219" s="6"/>
      <c r="I219" s="6"/>
      <c r="J219" s="6"/>
      <c r="K219" s="6"/>
      <c r="L219" s="6"/>
    </row>
    <row r="220" spans="1:12" x14ac:dyDescent="0.25">
      <c r="A220" s="76" t="str">
        <f>'инновации+добровольчество0,41'!A267</f>
        <v xml:space="preserve">Уборка территории от снега </v>
      </c>
      <c r="B220" s="297" t="s">
        <v>22</v>
      </c>
      <c r="C220" s="311"/>
      <c r="D220" s="14">
        <f>2*0.31</f>
        <v>0.62</v>
      </c>
      <c r="E220" s="493">
        <f>'инновации+добровольчество0,41'!E267</f>
        <v>30000</v>
      </c>
      <c r="F220" s="493">
        <f t="shared" si="9"/>
        <v>18600</v>
      </c>
      <c r="H220" s="6"/>
      <c r="I220" s="6"/>
      <c r="J220" s="6"/>
      <c r="K220" s="6"/>
      <c r="L220" s="6"/>
    </row>
    <row r="221" spans="1:12" x14ac:dyDescent="0.25">
      <c r="A221" s="76" t="str">
        <f>'инновации+добровольчество0,41'!A268</f>
        <v>Профилактическая дезинфекция</v>
      </c>
      <c r="B221" s="297" t="s">
        <v>22</v>
      </c>
      <c r="C221" s="311"/>
      <c r="D221" s="14">
        <v>0.31</v>
      </c>
      <c r="E221" s="493">
        <f>'инновации+добровольчество0,41'!E268</f>
        <v>6602.4</v>
      </c>
      <c r="F221" s="493">
        <f t="shared" si="9"/>
        <v>2046.7439999999999</v>
      </c>
      <c r="H221" s="6"/>
      <c r="I221" s="6"/>
      <c r="J221" s="6"/>
      <c r="K221" s="6"/>
      <c r="L221" s="6"/>
    </row>
    <row r="222" spans="1:12" x14ac:dyDescent="0.25">
      <c r="A222" s="76" t="str">
        <f>'инновации+добровольчество0,41'!A269</f>
        <v>Изготовление окна регистрации</v>
      </c>
      <c r="B222" s="297" t="s">
        <v>22</v>
      </c>
      <c r="C222" s="311"/>
      <c r="D222" s="14">
        <v>0.31</v>
      </c>
      <c r="E222" s="493">
        <f>'инновации+добровольчество0,41'!E269</f>
        <v>9040</v>
      </c>
      <c r="F222" s="493">
        <f t="shared" si="9"/>
        <v>2802.4</v>
      </c>
      <c r="H222" s="6"/>
      <c r="I222" s="6"/>
      <c r="J222" s="6"/>
      <c r="K222" s="6"/>
      <c r="L222" s="6"/>
    </row>
    <row r="223" spans="1:12" x14ac:dyDescent="0.25">
      <c r="A223" s="76" t="str">
        <f>'инновации+добровольчество0,41'!A270</f>
        <v>Замена аккумулятора охранной сигнализации</v>
      </c>
      <c r="B223" s="297" t="s">
        <v>22</v>
      </c>
      <c r="C223" s="311"/>
      <c r="D223" s="14">
        <v>0.31</v>
      </c>
      <c r="E223" s="493">
        <f>'инновации+добровольчество0,41'!E270</f>
        <v>1200</v>
      </c>
      <c r="F223" s="493">
        <f t="shared" si="9"/>
        <v>372</v>
      </c>
      <c r="H223" s="6"/>
      <c r="I223" s="6"/>
      <c r="J223" s="6"/>
      <c r="K223" s="6"/>
      <c r="L223" s="6"/>
    </row>
    <row r="224" spans="1:12" ht="31.5" x14ac:dyDescent="0.25">
      <c r="A224" s="7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B224" s="297" t="s">
        <v>22</v>
      </c>
      <c r="C224" s="311"/>
      <c r="D224" s="14">
        <f>1*0.31</f>
        <v>0.31</v>
      </c>
      <c r="E224" s="493">
        <f>'инновации+добровольчество0,41'!E271</f>
        <v>0</v>
      </c>
      <c r="F224" s="493">
        <f t="shared" si="9"/>
        <v>0</v>
      </c>
      <c r="H224" s="6"/>
      <c r="I224" s="6"/>
      <c r="J224" s="6"/>
      <c r="K224" s="6"/>
      <c r="L224" s="6"/>
    </row>
    <row r="225" spans="1:12" x14ac:dyDescent="0.25">
      <c r="A225" s="76" t="str">
        <f>'инновации+добровольчество0,41'!A272</f>
        <v>Договор осмотр технического состояния автомобиля</v>
      </c>
      <c r="B225" s="297" t="s">
        <v>22</v>
      </c>
      <c r="C225" s="311"/>
      <c r="D225" s="436">
        <f>85*0.31</f>
        <v>26.35</v>
      </c>
      <c r="E225" s="493">
        <f>'инновации+добровольчество0,41'!E272</f>
        <v>175.75</v>
      </c>
      <c r="F225" s="493">
        <f t="shared" si="9"/>
        <v>4631.0124999999998</v>
      </c>
      <c r="H225" s="6"/>
      <c r="I225" s="6"/>
      <c r="J225" s="6"/>
      <c r="K225" s="6"/>
      <c r="L225" s="6"/>
    </row>
    <row r="226" spans="1:12" x14ac:dyDescent="0.25">
      <c r="A226" s="76" t="str">
        <f>'инновации+добровольчество0,41'!A273</f>
        <v>Техническое обслуживание систем пожарной сигнализации</v>
      </c>
      <c r="B226" s="297" t="s">
        <v>22</v>
      </c>
      <c r="C226" s="311"/>
      <c r="D226" s="437">
        <f>12*0.31</f>
        <v>3.7199999999999998</v>
      </c>
      <c r="E226" s="493">
        <f>'инновации+добровольчество0,41'!E273</f>
        <v>1000</v>
      </c>
      <c r="F226" s="493">
        <f t="shared" si="9"/>
        <v>3719.9999999999995</v>
      </c>
      <c r="H226" s="6"/>
      <c r="I226" s="6"/>
      <c r="J226" s="6"/>
      <c r="K226" s="6"/>
      <c r="L226" s="6"/>
    </row>
    <row r="227" spans="1:12" x14ac:dyDescent="0.25">
      <c r="A227" s="76" t="str">
        <f>'инновации+добровольчество0,41'!A274</f>
        <v>Заправка катриджей</v>
      </c>
      <c r="B227" s="297" t="s">
        <v>22</v>
      </c>
      <c r="C227" s="311"/>
      <c r="D227" s="437">
        <f>10*0.31</f>
        <v>3.1</v>
      </c>
      <c r="E227" s="493">
        <f>'инновации+добровольчество0,41'!E274</f>
        <v>700</v>
      </c>
      <c r="F227" s="493">
        <f t="shared" si="9"/>
        <v>2170</v>
      </c>
      <c r="H227" s="6"/>
      <c r="I227" s="6"/>
      <c r="J227" s="6"/>
      <c r="K227" s="6"/>
      <c r="L227" s="6"/>
    </row>
    <row r="228" spans="1:12" x14ac:dyDescent="0.25">
      <c r="A228" s="446" t="str">
        <f>'инновации+добровольчество0,41'!A275</f>
        <v xml:space="preserve">ремонта отмостки и крылец здания МБУ «МЦ АУРУМ». </v>
      </c>
      <c r="B228" s="413" t="s">
        <v>22</v>
      </c>
      <c r="C228" s="415"/>
      <c r="D228" s="437">
        <f>1*0.31</f>
        <v>0.31</v>
      </c>
      <c r="E228" s="447">
        <f>'инновации+добровольчество0,41'!E275</f>
        <v>94999.97</v>
      </c>
      <c r="F228" s="447">
        <f t="shared" si="9"/>
        <v>29449.990699999998</v>
      </c>
      <c r="H228" s="6"/>
      <c r="I228" s="6"/>
      <c r="J228" s="6"/>
      <c r="K228" s="6"/>
      <c r="L228" s="6"/>
    </row>
    <row r="229" spans="1:12" x14ac:dyDescent="0.25">
      <c r="A229" s="76">
        <f>'инновации+добровольчество0,41'!A276</f>
        <v>0</v>
      </c>
      <c r="B229" s="403" t="s">
        <v>22</v>
      </c>
      <c r="C229" s="419"/>
      <c r="D229" s="70">
        <v>0.31</v>
      </c>
      <c r="E229" s="493">
        <f>'инновации+добровольчество0,41'!E276</f>
        <v>155.71</v>
      </c>
      <c r="F229" s="493">
        <f t="shared" si="9"/>
        <v>48.270099999999999</v>
      </c>
      <c r="H229" s="6"/>
      <c r="I229" s="6"/>
      <c r="J229" s="6"/>
      <c r="K229" s="6"/>
      <c r="L229" s="6"/>
    </row>
    <row r="230" spans="1:12" x14ac:dyDescent="0.25">
      <c r="A230" s="76" t="str">
        <f>'инновации+добровольчество0,41'!A277</f>
        <v>промывка и опрессовка</v>
      </c>
      <c r="B230" s="403" t="s">
        <v>22</v>
      </c>
      <c r="C230" s="419"/>
      <c r="D230" s="436">
        <v>0.31</v>
      </c>
      <c r="E230" s="493">
        <f>'инновации+добровольчество0,41'!E277</f>
        <v>9763.17</v>
      </c>
      <c r="F230" s="493">
        <f t="shared" si="9"/>
        <v>3026.5826999999999</v>
      </c>
      <c r="H230" s="6"/>
      <c r="I230" s="6"/>
      <c r="J230" s="6"/>
      <c r="K230" s="6"/>
      <c r="L230" s="6"/>
    </row>
    <row r="231" spans="1:12" x14ac:dyDescent="0.25">
      <c r="A231" s="76" t="str">
        <f>'инновации+добровольчество0,41'!A278</f>
        <v>Обучение электроустановки</v>
      </c>
      <c r="B231" s="488" t="s">
        <v>22</v>
      </c>
      <c r="C231" s="491"/>
      <c r="D231" s="436">
        <f>2*0.31</f>
        <v>0.62</v>
      </c>
      <c r="E231" s="493">
        <f>'инновации+добровольчество0,41'!E278</f>
        <v>8800</v>
      </c>
      <c r="F231" s="493">
        <f t="shared" si="9"/>
        <v>5456</v>
      </c>
      <c r="H231" s="6"/>
      <c r="I231" s="6"/>
      <c r="J231" s="6"/>
      <c r="K231" s="6"/>
      <c r="L231" s="6"/>
    </row>
    <row r="232" spans="1:12" x14ac:dyDescent="0.25">
      <c r="A232" s="76" t="str">
        <f>'инновации+добровольчество0,41'!A279</f>
        <v>обучение молодежная политика</v>
      </c>
      <c r="B232" s="488" t="s">
        <v>22</v>
      </c>
      <c r="C232" s="491"/>
      <c r="D232" s="436">
        <f>1*0.31</f>
        <v>0.31</v>
      </c>
      <c r="E232" s="493">
        <f>'инновации+добровольчество0,41'!E279</f>
        <v>2000</v>
      </c>
      <c r="F232" s="493">
        <f t="shared" si="9"/>
        <v>620</v>
      </c>
      <c r="H232" s="6"/>
      <c r="I232" s="6"/>
      <c r="J232" s="6"/>
      <c r="K232" s="6"/>
      <c r="L232" s="6"/>
    </row>
    <row r="233" spans="1:12" x14ac:dyDescent="0.25">
      <c r="A233" s="76" t="str">
        <f>'инновации+добровольчество0,41'!A280</f>
        <v>обучение персонала</v>
      </c>
      <c r="B233" s="490" t="s">
        <v>22</v>
      </c>
      <c r="C233" s="491"/>
      <c r="D233" s="436">
        <f t="shared" ref="D233:D244" si="10">2*0.31</f>
        <v>0.62</v>
      </c>
      <c r="E233" s="493">
        <f>'инновации+добровольчество0,41'!E280</f>
        <v>25900</v>
      </c>
      <c r="F233" s="493">
        <f t="shared" si="9"/>
        <v>16058</v>
      </c>
      <c r="H233" s="6"/>
      <c r="I233" s="6"/>
      <c r="J233" s="6"/>
      <c r="K233" s="6"/>
      <c r="L233" s="6"/>
    </row>
    <row r="234" spans="1:12" x14ac:dyDescent="0.25">
      <c r="A234" s="76" t="str">
        <f>'инновации+добровольчество0,41'!A281</f>
        <v>Возмещение мед осмотра (112/212)</v>
      </c>
      <c r="B234" s="488" t="s">
        <v>22</v>
      </c>
      <c r="C234" s="491"/>
      <c r="D234" s="436">
        <f>1*0.31</f>
        <v>0.31</v>
      </c>
      <c r="E234" s="493">
        <f>'инновации+добровольчество0,41'!E281</f>
        <v>2947</v>
      </c>
      <c r="F234" s="493">
        <f t="shared" si="9"/>
        <v>913.57</v>
      </c>
      <c r="H234" s="6"/>
      <c r="I234" s="6"/>
      <c r="J234" s="6"/>
      <c r="K234" s="6"/>
      <c r="L234" s="6"/>
    </row>
    <row r="235" spans="1:12" x14ac:dyDescent="0.25">
      <c r="A235" s="76" t="str">
        <f>'инновации+добровольчество0,41'!A282</f>
        <v>Услуги СЕМИС подписка</v>
      </c>
      <c r="B235" s="488" t="s">
        <v>22</v>
      </c>
      <c r="C235" s="491"/>
      <c r="D235" s="436">
        <f>1*0.31</f>
        <v>0.31</v>
      </c>
      <c r="E235" s="493">
        <f>'инновации+добровольчество0,41'!E282</f>
        <v>765</v>
      </c>
      <c r="F235" s="493">
        <f t="shared" si="9"/>
        <v>237.15</v>
      </c>
      <c r="H235" s="6"/>
      <c r="I235" s="6"/>
      <c r="J235" s="6"/>
      <c r="K235" s="6"/>
      <c r="L235" s="6"/>
    </row>
    <row r="236" spans="1:12" x14ac:dyDescent="0.25">
      <c r="A236" s="76" t="str">
        <f>'инновации+добровольчество0,41'!A283</f>
        <v>Изготовление полка двухуровневого для создания открытого пространства</v>
      </c>
      <c r="B236" s="488" t="s">
        <v>22</v>
      </c>
      <c r="C236" s="416"/>
      <c r="D236" s="436">
        <f>1*0.31</f>
        <v>0.31</v>
      </c>
      <c r="E236" s="493">
        <f>'инновации+добровольчество0,41'!E283</f>
        <v>43180</v>
      </c>
      <c r="F236" s="493">
        <f t="shared" si="9"/>
        <v>13385.8</v>
      </c>
      <c r="H236" s="6"/>
      <c r="I236" s="6"/>
      <c r="J236" s="6"/>
      <c r="K236" s="6"/>
      <c r="L236" s="6"/>
    </row>
    <row r="237" spans="1:12" x14ac:dyDescent="0.25">
      <c r="A237" s="76" t="str">
        <f>'инновации+добровольчество0,41'!A284</f>
        <v>Предрейсовое медицинское обследование 200дней*85руб</v>
      </c>
      <c r="B237" s="488" t="s">
        <v>22</v>
      </c>
      <c r="C237" s="491"/>
      <c r="D237" s="436">
        <f>200*0.31</f>
        <v>62</v>
      </c>
      <c r="E237" s="493">
        <f>'инновации+добровольчество0,41'!E284</f>
        <v>85</v>
      </c>
      <c r="F237" s="493">
        <f t="shared" si="9"/>
        <v>5270</v>
      </c>
      <c r="H237" s="6"/>
      <c r="I237" s="6"/>
      <c r="J237" s="6"/>
      <c r="K237" s="6"/>
      <c r="L237" s="6"/>
    </row>
    <row r="238" spans="1:12" x14ac:dyDescent="0.25">
      <c r="A238" s="76" t="str">
        <f>'инновации+добровольчество0,41'!A285</f>
        <v xml:space="preserve">Услуги охраны  </v>
      </c>
      <c r="B238" s="490" t="s">
        <v>22</v>
      </c>
      <c r="C238" s="491"/>
      <c r="D238" s="436">
        <f>12*0.31</f>
        <v>3.7199999999999998</v>
      </c>
      <c r="E238" s="493">
        <f>'инновации+добровольчество0,41'!E285</f>
        <v>8000</v>
      </c>
      <c r="F238" s="493">
        <f t="shared" si="9"/>
        <v>29759.999999999996</v>
      </c>
      <c r="H238" s="6"/>
      <c r="I238" s="6"/>
      <c r="J238" s="6"/>
      <c r="K238" s="6"/>
      <c r="L238" s="6"/>
    </row>
    <row r="239" spans="1:12" x14ac:dyDescent="0.25">
      <c r="A239" s="76" t="str">
        <f>'инновации+добровольчество0,41'!A286</f>
        <v>Обслуживание систем охранных средств сигнализации (тревожная кнопка)</v>
      </c>
      <c r="B239" s="488" t="s">
        <v>22</v>
      </c>
      <c r="C239" s="491"/>
      <c r="D239" s="436">
        <f>12*0.31</f>
        <v>3.7199999999999998</v>
      </c>
      <c r="E239" s="493">
        <f>'инновации+добровольчество0,41'!E286</f>
        <v>5000</v>
      </c>
      <c r="F239" s="493">
        <f t="shared" si="9"/>
        <v>18600</v>
      </c>
      <c r="H239" s="6"/>
      <c r="I239" s="6"/>
      <c r="J239" s="6"/>
      <c r="K239" s="6"/>
      <c r="L239" s="6"/>
    </row>
    <row r="240" spans="1:12" x14ac:dyDescent="0.25">
      <c r="A240" s="76" t="str">
        <f>'инновации+добровольчество0,41'!A287</f>
        <v>Изготовление декоративного камина</v>
      </c>
      <c r="B240" s="488" t="s">
        <v>22</v>
      </c>
      <c r="C240" s="491"/>
      <c r="D240" s="436">
        <f>1*0.31</f>
        <v>0.31</v>
      </c>
      <c r="E240" s="493">
        <f>'инновации+добровольчество0,41'!E287</f>
        <v>35000</v>
      </c>
      <c r="F240" s="493">
        <f t="shared" si="9"/>
        <v>10850</v>
      </c>
      <c r="H240" s="6"/>
      <c r="I240" s="6"/>
      <c r="J240" s="6"/>
      <c r="K240" s="6"/>
      <c r="L240" s="6"/>
    </row>
    <row r="241" spans="1:12" x14ac:dyDescent="0.25">
      <c r="A241" s="76" t="str">
        <f>'инновации+добровольчество0,41'!A288</f>
        <v>Организация питания воинов-интернационалистов</v>
      </c>
      <c r="B241" s="488" t="s">
        <v>22</v>
      </c>
      <c r="C241" s="308"/>
      <c r="D241" s="436">
        <f>1*0.31</f>
        <v>0.31</v>
      </c>
      <c r="E241" s="493">
        <f>'инновации+добровольчество0,41'!E288</f>
        <v>23825</v>
      </c>
      <c r="F241" s="493">
        <f t="shared" si="9"/>
        <v>7385.75</v>
      </c>
      <c r="H241" s="6"/>
      <c r="I241" s="6"/>
      <c r="J241" s="6"/>
      <c r="K241" s="6"/>
      <c r="L241" s="6"/>
    </row>
    <row r="242" spans="1:12" x14ac:dyDescent="0.25">
      <c r="A242" s="76" t="str">
        <f>'инновации+добровольчество0,41'!A289</f>
        <v>изготовление металлической фигуры медведя (ГПХ)</v>
      </c>
      <c r="B242" s="488" t="s">
        <v>22</v>
      </c>
      <c r="C242" s="287"/>
      <c r="D242" s="436">
        <f>1*0.31</f>
        <v>0.31</v>
      </c>
      <c r="E242" s="493">
        <f>'инновации+добровольчество0,41'!E289</f>
        <v>19983</v>
      </c>
      <c r="F242" s="493">
        <f t="shared" si="9"/>
        <v>6194.73</v>
      </c>
      <c r="H242" s="6"/>
      <c r="I242" s="6"/>
      <c r="J242" s="6"/>
      <c r="K242" s="6"/>
      <c r="L242" s="6"/>
    </row>
    <row r="243" spans="1:12" x14ac:dyDescent="0.25">
      <c r="A243" s="76" t="str">
        <f>'инновации+добровольчество0,41'!A290</f>
        <v>Microsoft Windows 10</v>
      </c>
      <c r="B243" s="490" t="s">
        <v>22</v>
      </c>
      <c r="C243" s="287"/>
      <c r="D243" s="436">
        <f t="shared" si="10"/>
        <v>0.62</v>
      </c>
      <c r="E243" s="493">
        <f>'инновации+добровольчество0,41'!E290</f>
        <v>7400</v>
      </c>
      <c r="F243" s="493">
        <f t="shared" si="9"/>
        <v>4588</v>
      </c>
      <c r="H243" s="6"/>
      <c r="I243" s="6"/>
      <c r="J243" s="6"/>
      <c r="K243" s="6"/>
      <c r="L243" s="6"/>
    </row>
    <row r="244" spans="1:12" ht="18.75" customHeight="1" x14ac:dyDescent="0.25">
      <c r="A244" s="76" t="str">
        <f>'инновации+добровольчество0,41'!A291</f>
        <v>Microsoft Office 2013</v>
      </c>
      <c r="B244" s="488" t="s">
        <v>22</v>
      </c>
      <c r="C244" s="287"/>
      <c r="D244" s="436">
        <f t="shared" si="10"/>
        <v>0.62</v>
      </c>
      <c r="E244" s="493">
        <f>'инновации+добровольчество0,41'!E291</f>
        <v>5250</v>
      </c>
      <c r="F244" s="493">
        <f t="shared" si="9"/>
        <v>3255</v>
      </c>
      <c r="H244" s="6"/>
      <c r="I244" s="6"/>
      <c r="J244" s="6"/>
      <c r="K244" s="6"/>
      <c r="L244" s="6"/>
    </row>
    <row r="245" spans="1:12" ht="18.75" x14ac:dyDescent="0.25">
      <c r="A245" s="690" t="s">
        <v>23</v>
      </c>
      <c r="B245" s="691"/>
      <c r="C245" s="691"/>
      <c r="D245" s="691"/>
      <c r="E245" s="692"/>
      <c r="F245" s="267">
        <f>SUM(F219:F244)</f>
        <v>196881</v>
      </c>
      <c r="H245" s="6"/>
      <c r="I245" s="6"/>
      <c r="J245" s="6"/>
      <c r="K245" s="6"/>
      <c r="L245" s="6"/>
    </row>
    <row r="246" spans="1:12" x14ac:dyDescent="0.25">
      <c r="A246" s="683" t="s">
        <v>29</v>
      </c>
      <c r="B246" s="684"/>
      <c r="C246" s="684"/>
      <c r="D246" s="684"/>
      <c r="E246" s="684"/>
      <c r="F246" s="685"/>
    </row>
    <row r="247" spans="1:12" x14ac:dyDescent="0.25">
      <c r="A247" s="686">
        <f>D215</f>
        <v>0.31</v>
      </c>
      <c r="B247" s="687"/>
      <c r="C247" s="687"/>
      <c r="D247" s="687"/>
      <c r="E247" s="687"/>
      <c r="F247" s="688"/>
    </row>
    <row r="248" spans="1:12" ht="15.75" customHeight="1" x14ac:dyDescent="0.25">
      <c r="A248" s="576" t="s">
        <v>30</v>
      </c>
      <c r="B248" s="576" t="s">
        <v>11</v>
      </c>
      <c r="C248" s="297"/>
      <c r="D248" s="576" t="s">
        <v>14</v>
      </c>
      <c r="E248" s="576" t="s">
        <v>15</v>
      </c>
      <c r="F248" s="560" t="s">
        <v>6</v>
      </c>
    </row>
    <row r="249" spans="1:12" x14ac:dyDescent="0.25">
      <c r="A249" s="576"/>
      <c r="B249" s="576"/>
      <c r="C249" s="297"/>
      <c r="D249" s="576"/>
      <c r="E249" s="576"/>
      <c r="F249" s="561"/>
    </row>
    <row r="250" spans="1:12" x14ac:dyDescent="0.25">
      <c r="A250" s="297">
        <v>1</v>
      </c>
      <c r="B250" s="297">
        <v>2</v>
      </c>
      <c r="C250" s="297"/>
      <c r="D250" s="297">
        <v>3</v>
      </c>
      <c r="E250" s="297">
        <v>4</v>
      </c>
      <c r="F250" s="297" t="s">
        <v>179</v>
      </c>
    </row>
    <row r="251" spans="1:12" x14ac:dyDescent="0.25">
      <c r="A251" s="217" t="str">
        <f>'инновации+добровольчество0,41'!A298</f>
        <v>Пиломатериал доска 100*50*6000</v>
      </c>
      <c r="B251" s="291" t="str">
        <f>'инновации+добровольчество0,41'!B298</f>
        <v>шт</v>
      </c>
      <c r="C251" s="297"/>
      <c r="D251" s="229">
        <f>Лист1!C3*$A$247</f>
        <v>0.31</v>
      </c>
      <c r="E251" s="385">
        <f>Лист1!D3</f>
        <v>9000</v>
      </c>
      <c r="F251" s="247">
        <f>D251*E251</f>
        <v>2790</v>
      </c>
    </row>
    <row r="252" spans="1:12" x14ac:dyDescent="0.25">
      <c r="A252" s="217" t="str">
        <f>'инновации+добровольчество0,41'!A299</f>
        <v>Брусок 100*100*6000</v>
      </c>
      <c r="B252" s="291" t="str">
        <f>'инновации+добровольчество0,41'!B299</f>
        <v>шт</v>
      </c>
      <c r="C252" s="297"/>
      <c r="D252" s="229">
        <f>Лист1!C4*$A$247</f>
        <v>0.31</v>
      </c>
      <c r="E252" s="489">
        <f>Лист1!D4</f>
        <v>10000</v>
      </c>
      <c r="F252" s="247">
        <f>D252*E252</f>
        <v>3100</v>
      </c>
    </row>
    <row r="253" spans="1:12" ht="24.75" customHeight="1" x14ac:dyDescent="0.25">
      <c r="A253" s="217" t="str">
        <f>'инновации+добровольчество0,41'!A300</f>
        <v>Искусственный камень</v>
      </c>
      <c r="B253" s="291" t="str">
        <f>'инновации+добровольчество0,41'!B300</f>
        <v>шт</v>
      </c>
      <c r="C253" s="297"/>
      <c r="D253" s="229">
        <f>Лист1!C5*$A$247</f>
        <v>3.1</v>
      </c>
      <c r="E253" s="489">
        <f>Лист1!D5</f>
        <v>600</v>
      </c>
      <c r="F253" s="247">
        <f t="shared" ref="F253:F274" si="11">D253*E253</f>
        <v>1860</v>
      </c>
    </row>
    <row r="254" spans="1:12" ht="24.75" customHeight="1" x14ac:dyDescent="0.25">
      <c r="A254" s="217" t="str">
        <f>'инновации+добровольчество0,41'!A301</f>
        <v>карбонат монолитный</v>
      </c>
      <c r="B254" s="291" t="str">
        <f>'инновации+добровольчество0,41'!B301</f>
        <v>шт</v>
      </c>
      <c r="C254" s="297"/>
      <c r="D254" s="229">
        <f>Лист1!C6*$A$247</f>
        <v>1.55</v>
      </c>
      <c r="E254" s="489">
        <f>Лист1!D6</f>
        <v>6600</v>
      </c>
      <c r="F254" s="247">
        <f t="shared" ref="F254" si="12">D254*E254</f>
        <v>10230</v>
      </c>
    </row>
    <row r="255" spans="1:12" x14ac:dyDescent="0.25">
      <c r="A255" s="217" t="str">
        <f>'инновации+добровольчество0,41'!A302</f>
        <v>Катридж CN54AE HP 933XL</v>
      </c>
      <c r="B255" s="291" t="str">
        <f>'инновации+добровольчество0,41'!B302</f>
        <v>шт</v>
      </c>
      <c r="C255" s="297"/>
      <c r="D255" s="229">
        <f>Лист1!C7*$A$247</f>
        <v>2.79</v>
      </c>
      <c r="E255" s="489">
        <f>Лист1!D7</f>
        <v>1860</v>
      </c>
      <c r="F255" s="247">
        <f t="shared" si="11"/>
        <v>5189.3999999999996</v>
      </c>
    </row>
    <row r="256" spans="1:12" x14ac:dyDescent="0.25">
      <c r="A256" s="217" t="str">
        <f>'инновации+добровольчество0,41'!A303</f>
        <v>Катридж CN54AE HP 932XL</v>
      </c>
      <c r="B256" s="291" t="str">
        <f>'инновации+добровольчество0,41'!B303</f>
        <v>шт</v>
      </c>
      <c r="C256" s="297"/>
      <c r="D256" s="229">
        <f>Лист1!C8*$A$247</f>
        <v>0.92999999999999994</v>
      </c>
      <c r="E256" s="489">
        <f>Лист1!D8</f>
        <v>3689</v>
      </c>
      <c r="F256" s="247">
        <f t="shared" si="11"/>
        <v>3430.77</v>
      </c>
    </row>
    <row r="257" spans="1:6" x14ac:dyDescent="0.25">
      <c r="A257" s="217" t="str">
        <f>'инновации+добровольчество0,41'!A304</f>
        <v>Чернила Canon Gl-490C PIXMA</v>
      </c>
      <c r="B257" s="291" t="str">
        <f>'инновации+добровольчество0,41'!B304</f>
        <v>шт</v>
      </c>
      <c r="C257" s="297"/>
      <c r="D257" s="229">
        <f>Лист1!C9*$A$247</f>
        <v>3.7199999999999998</v>
      </c>
      <c r="E257" s="489">
        <f>Лист1!D9</f>
        <v>800</v>
      </c>
      <c r="F257" s="247">
        <f t="shared" si="11"/>
        <v>2976</v>
      </c>
    </row>
    <row r="258" spans="1:6" x14ac:dyDescent="0.25">
      <c r="A258" s="217" t="str">
        <f>'инновации+добровольчество0,41'!A305</f>
        <v>Бумага А4 500 шт. SvetoCopy</v>
      </c>
      <c r="B258" s="291" t="str">
        <f>'инновации+добровольчество0,41'!B305</f>
        <v>шт</v>
      </c>
      <c r="C258" s="297"/>
      <c r="D258" s="229">
        <f>Лист1!C10*$A$247</f>
        <v>9.3000000000000007</v>
      </c>
      <c r="E258" s="489">
        <f>Лист1!D10</f>
        <v>300</v>
      </c>
      <c r="F258" s="247">
        <f t="shared" si="11"/>
        <v>2790</v>
      </c>
    </row>
    <row r="259" spans="1:6" x14ac:dyDescent="0.25">
      <c r="A259" s="217" t="str">
        <f>'инновации+добровольчество0,41'!A306</f>
        <v>Бумага А3 500 шт. SvetoCopy</v>
      </c>
      <c r="B259" s="291" t="str">
        <f>'инновации+добровольчество0,41'!B306</f>
        <v>шт</v>
      </c>
      <c r="C259" s="297"/>
      <c r="D259" s="229">
        <f>Лист1!C11*$A$247</f>
        <v>6.2</v>
      </c>
      <c r="E259" s="489">
        <f>Лист1!D11</f>
        <v>400</v>
      </c>
      <c r="F259" s="247">
        <f t="shared" si="11"/>
        <v>2480</v>
      </c>
    </row>
    <row r="260" spans="1:6" x14ac:dyDescent="0.25">
      <c r="A260" s="217" t="str">
        <f>'инновации+добровольчество0,41'!A307</f>
        <v>Фанера</v>
      </c>
      <c r="B260" s="291" t="str">
        <f>'инновации+добровольчество0,41'!B307</f>
        <v>шт</v>
      </c>
      <c r="C260" s="297"/>
      <c r="D260" s="229">
        <f>Лист1!C12*$A$247</f>
        <v>0.31</v>
      </c>
      <c r="E260" s="489">
        <f>Лист1!D12</f>
        <v>1000</v>
      </c>
      <c r="F260" s="247">
        <f t="shared" si="11"/>
        <v>310</v>
      </c>
    </row>
    <row r="261" spans="1:6" x14ac:dyDescent="0.25">
      <c r="A261" s="217" t="str">
        <f>'инновации+добровольчество0,41'!A308</f>
        <v>Антифриз</v>
      </c>
      <c r="B261" s="291" t="str">
        <f>'инновации+добровольчество0,41'!B308</f>
        <v>шт</v>
      </c>
      <c r="C261" s="297"/>
      <c r="D261" s="229">
        <f>Лист1!C13*$A$247</f>
        <v>9.3000000000000007</v>
      </c>
      <c r="E261" s="489">
        <f>Лист1!D13</f>
        <v>183</v>
      </c>
      <c r="F261" s="247">
        <f t="shared" si="11"/>
        <v>1701.9</v>
      </c>
    </row>
    <row r="262" spans="1:6" x14ac:dyDescent="0.25">
      <c r="A262" s="217" t="str">
        <f>'инновации+добровольчество0,41'!A309</f>
        <v>насадка на швабру</v>
      </c>
      <c r="B262" s="291" t="str">
        <f>'инновации+добровольчество0,41'!B309</f>
        <v>шт</v>
      </c>
      <c r="C262" s="297"/>
      <c r="D262" s="229">
        <f>Лист1!C14*$A$247</f>
        <v>3.1</v>
      </c>
      <c r="E262" s="489">
        <f>Лист1!D14</f>
        <v>100</v>
      </c>
      <c r="F262" s="247">
        <f t="shared" si="11"/>
        <v>310</v>
      </c>
    </row>
    <row r="263" spans="1:6" x14ac:dyDescent="0.25">
      <c r="A263" s="217" t="str">
        <f>'инновации+добровольчество0,41'!A310</f>
        <v>дез ср/во для сантехники</v>
      </c>
      <c r="B263" s="291" t="str">
        <f>'инновации+добровольчество0,41'!B310</f>
        <v>шт</v>
      </c>
      <c r="C263" s="297"/>
      <c r="D263" s="229">
        <f>Лист1!C15*$A$247</f>
        <v>0.62</v>
      </c>
      <c r="E263" s="489">
        <f>Лист1!D15</f>
        <v>500</v>
      </c>
      <c r="F263" s="247">
        <f t="shared" ref="F263:F264" si="13">D263*E263</f>
        <v>310</v>
      </c>
    </row>
    <row r="264" spans="1:6" x14ac:dyDescent="0.25">
      <c r="A264" s="217" t="str">
        <f>'инновации+добровольчество0,41'!A311</f>
        <v>ср-во для чистки стекол</v>
      </c>
      <c r="B264" s="291" t="str">
        <f>'инновации+добровольчество0,41'!B311</f>
        <v>шт</v>
      </c>
      <c r="C264" s="297"/>
      <c r="D264" s="229">
        <f>Лист1!C16*$A$247</f>
        <v>1.55</v>
      </c>
      <c r="E264" s="489">
        <f>Лист1!D16</f>
        <v>200</v>
      </c>
      <c r="F264" s="247">
        <f t="shared" si="13"/>
        <v>310</v>
      </c>
    </row>
    <row r="265" spans="1:6" x14ac:dyDescent="0.25">
      <c r="A265" s="217" t="str">
        <f>'инновации+добровольчество0,41'!A312</f>
        <v>ватные диски +терм</v>
      </c>
      <c r="B265" s="291" t="str">
        <f>'инновации+добровольчество0,41'!B312</f>
        <v>шт</v>
      </c>
      <c r="C265" s="297"/>
      <c r="D265" s="229">
        <f>Лист1!C17*$A$247</f>
        <v>0.31</v>
      </c>
      <c r="E265" s="489">
        <f>Лист1!D17</f>
        <v>466</v>
      </c>
      <c r="F265" s="247">
        <f t="shared" si="11"/>
        <v>144.46</v>
      </c>
    </row>
    <row r="266" spans="1:6" x14ac:dyDescent="0.25">
      <c r="A266" s="217" t="str">
        <f>'инновации+добровольчество0,41'!A313</f>
        <v>щит мет</v>
      </c>
      <c r="B266" s="291" t="str">
        <f>'инновации+добровольчество0,41'!B313</f>
        <v>шт</v>
      </c>
      <c r="C266" s="297"/>
      <c r="D266" s="229">
        <f>Лист1!C18*$A$247</f>
        <v>0.31</v>
      </c>
      <c r="E266" s="489">
        <f>Лист1!D18</f>
        <v>1385</v>
      </c>
      <c r="F266" s="247">
        <f t="shared" si="11"/>
        <v>429.35</v>
      </c>
    </row>
    <row r="267" spans="1:6" x14ac:dyDescent="0.25">
      <c r="A267" s="217" t="str">
        <f>'инновации+добровольчество0,41'!A314</f>
        <v>уголок</v>
      </c>
      <c r="B267" s="291" t="str">
        <f>'инновации+добровольчество0,41'!B314</f>
        <v>шт</v>
      </c>
      <c r="C267" s="297"/>
      <c r="D267" s="229">
        <f>Лист1!C19*$A$247</f>
        <v>0.62</v>
      </c>
      <c r="E267" s="489">
        <f>Лист1!D19</f>
        <v>25</v>
      </c>
      <c r="F267" s="247">
        <f t="shared" si="11"/>
        <v>15.5</v>
      </c>
    </row>
    <row r="268" spans="1:6" x14ac:dyDescent="0.25">
      <c r="A268" s="217" t="str">
        <f>'инновации+добровольчество0,41'!A315</f>
        <v>держатель зерк</v>
      </c>
      <c r="B268" s="291" t="str">
        <f>'инновации+добровольчество0,41'!B315</f>
        <v>шт</v>
      </c>
      <c r="C268" s="297"/>
      <c r="D268" s="229">
        <f>Лист1!C20*$A$247</f>
        <v>1.8599999999999999</v>
      </c>
      <c r="E268" s="489">
        <f>Лист1!D20</f>
        <v>60</v>
      </c>
      <c r="F268" s="247">
        <f t="shared" si="11"/>
        <v>111.6</v>
      </c>
    </row>
    <row r="269" spans="1:6" s="277" customFormat="1" x14ac:dyDescent="0.25">
      <c r="A269" s="276" t="str">
        <f>'инновации+добровольчество0,41'!A316</f>
        <v>краска</v>
      </c>
      <c r="B269" s="291" t="str">
        <f>'инновации+добровольчество0,41'!B316</f>
        <v>шт</v>
      </c>
      <c r="C269" s="297"/>
      <c r="D269" s="229">
        <f>Лист1!C21*$A$247</f>
        <v>0.31</v>
      </c>
      <c r="E269" s="489">
        <f>Лист1!D21</f>
        <v>1195</v>
      </c>
      <c r="F269" s="247">
        <f t="shared" si="11"/>
        <v>370.45</v>
      </c>
    </row>
    <row r="270" spans="1:6" x14ac:dyDescent="0.25">
      <c r="A270" s="217" t="str">
        <f>'инновации+добровольчество0,41'!A317</f>
        <v>колер</v>
      </c>
      <c r="B270" s="291" t="str">
        <f>'инновации+добровольчество0,41'!B317</f>
        <v>шт</v>
      </c>
      <c r="C270" s="297"/>
      <c r="D270" s="229">
        <f>Лист1!C22*$A$247</f>
        <v>2.79</v>
      </c>
      <c r="E270" s="489">
        <f>Лист1!D22</f>
        <v>50</v>
      </c>
      <c r="F270" s="247">
        <f t="shared" si="11"/>
        <v>139.5</v>
      </c>
    </row>
    <row r="271" spans="1:6" x14ac:dyDescent="0.25">
      <c r="A271" s="217" t="str">
        <f>'инновации+добровольчество0,41'!A318</f>
        <v>эмаль</v>
      </c>
      <c r="B271" s="291" t="str">
        <f>'инновации+добровольчество0,41'!B318</f>
        <v>шт</v>
      </c>
      <c r="C271" s="297"/>
      <c r="D271" s="229">
        <f>Лист1!C23*$A$247</f>
        <v>0.31</v>
      </c>
      <c r="E271" s="489">
        <f>Лист1!D23</f>
        <v>250</v>
      </c>
      <c r="F271" s="247">
        <f t="shared" si="11"/>
        <v>77.5</v>
      </c>
    </row>
    <row r="272" spans="1:6" x14ac:dyDescent="0.25">
      <c r="A272" s="217" t="str">
        <f>'инновации+добровольчество0,41'!A319</f>
        <v>Молоток</v>
      </c>
      <c r="B272" s="170" t="s">
        <v>88</v>
      </c>
      <c r="C272" s="297"/>
      <c r="D272" s="229">
        <f>Лист1!C24*$A$247</f>
        <v>0.92999999999999994</v>
      </c>
      <c r="E272" s="489">
        <f>Лист1!D24</f>
        <v>100</v>
      </c>
      <c r="F272" s="247">
        <f t="shared" si="11"/>
        <v>93</v>
      </c>
    </row>
    <row r="273" spans="1:6" x14ac:dyDescent="0.25">
      <c r="A273" s="217" t="str">
        <f>'инновации+добровольчество0,41'!A320</f>
        <v>Гвозди</v>
      </c>
      <c r="B273" s="170" t="s">
        <v>88</v>
      </c>
      <c r="C273" s="297"/>
      <c r="D273" s="229">
        <f>Лист1!C25*$A$247</f>
        <v>0.62</v>
      </c>
      <c r="E273" s="489">
        <f>Лист1!D25</f>
        <v>27.5</v>
      </c>
      <c r="F273" s="247">
        <f t="shared" si="11"/>
        <v>17.05</v>
      </c>
    </row>
    <row r="274" spans="1:6" x14ac:dyDescent="0.25">
      <c r="A274" s="217" t="str">
        <f>'инновации+добровольчество0,41'!A321</f>
        <v>Тонер НР</v>
      </c>
      <c r="B274" s="170" t="s">
        <v>88</v>
      </c>
      <c r="C274" s="297"/>
      <c r="D274" s="229">
        <f>Лист1!C26*$A$247</f>
        <v>0.62</v>
      </c>
      <c r="E274" s="489">
        <f>Лист1!D26</f>
        <v>2200</v>
      </c>
      <c r="F274" s="247">
        <f t="shared" si="11"/>
        <v>1364</v>
      </c>
    </row>
    <row r="275" spans="1:6" x14ac:dyDescent="0.25">
      <c r="A275" s="217" t="str">
        <f>'инновации+добровольчество0,41'!A322</f>
        <v>Тонер Canon</v>
      </c>
      <c r="B275" s="170" t="s">
        <v>88</v>
      </c>
      <c r="C275" s="297"/>
      <c r="D275" s="229">
        <f>Лист1!C27*$A$247</f>
        <v>0.31</v>
      </c>
      <c r="E275" s="489">
        <f>Лист1!D27</f>
        <v>1600</v>
      </c>
      <c r="F275" s="247">
        <f t="shared" ref="F275:F308" si="14">D275*E275</f>
        <v>496</v>
      </c>
    </row>
    <row r="276" spans="1:6" x14ac:dyDescent="0.25">
      <c r="A276" s="217" t="str">
        <f>'инновации+добровольчество0,41'!A323</f>
        <v>Эмаль</v>
      </c>
      <c r="B276" s="170" t="s">
        <v>88</v>
      </c>
      <c r="C276" s="297"/>
      <c r="D276" s="229">
        <f>Лист1!C28*$A$247</f>
        <v>0.62</v>
      </c>
      <c r="E276" s="489">
        <f>Лист1!D28</f>
        <v>180</v>
      </c>
      <c r="F276" s="247">
        <f t="shared" si="14"/>
        <v>111.6</v>
      </c>
    </row>
    <row r="277" spans="1:6" x14ac:dyDescent="0.25">
      <c r="A277" s="217" t="str">
        <f>'инновации+добровольчество0,41'!A324</f>
        <v>Эмаль аэрозоль</v>
      </c>
      <c r="B277" s="170" t="s">
        <v>88</v>
      </c>
      <c r="C277" s="297"/>
      <c r="D277" s="229">
        <f>Лист1!C29*$A$247</f>
        <v>2.48</v>
      </c>
      <c r="E277" s="489">
        <f>Лист1!D29</f>
        <v>216.5</v>
      </c>
      <c r="F277" s="247">
        <f t="shared" si="14"/>
        <v>536.91999999999996</v>
      </c>
    </row>
    <row r="278" spans="1:6" x14ac:dyDescent="0.25">
      <c r="A278" s="217" t="str">
        <f>'инновации+добровольчество0,41'!A325</f>
        <v>пакет майка</v>
      </c>
      <c r="B278" s="170" t="s">
        <v>88</v>
      </c>
      <c r="C278" s="297"/>
      <c r="D278" s="229">
        <f>Лист1!C30*$A$247</f>
        <v>0.31</v>
      </c>
      <c r="E278" s="489">
        <f>Лист1!D30</f>
        <v>5</v>
      </c>
      <c r="F278" s="247">
        <f t="shared" si="14"/>
        <v>1.55</v>
      </c>
    </row>
    <row r="279" spans="1:6" x14ac:dyDescent="0.25">
      <c r="A279" s="217" t="str">
        <f>'инновации+добровольчество0,41'!A326</f>
        <v>шпилька резьбовая</v>
      </c>
      <c r="B279" s="170" t="s">
        <v>88</v>
      </c>
      <c r="C279" s="297"/>
      <c r="D279" s="229">
        <f>Лист1!C31*$A$247</f>
        <v>0.62</v>
      </c>
      <c r="E279" s="489">
        <f>Лист1!D31</f>
        <v>240</v>
      </c>
      <c r="F279" s="247">
        <f t="shared" si="14"/>
        <v>148.80000000000001</v>
      </c>
    </row>
    <row r="280" spans="1:6" x14ac:dyDescent="0.25">
      <c r="A280" s="217" t="str">
        <f>'инновации+добровольчество0,41'!A327</f>
        <v>сверло</v>
      </c>
      <c r="B280" s="170" t="s">
        <v>88</v>
      </c>
      <c r="C280" s="297"/>
      <c r="D280" s="229">
        <f>Лист1!C32*$A$247</f>
        <v>0.31</v>
      </c>
      <c r="E280" s="489">
        <f>Лист1!D32</f>
        <v>359</v>
      </c>
      <c r="F280" s="247">
        <f t="shared" si="14"/>
        <v>111.29</v>
      </c>
    </row>
    <row r="281" spans="1:6" x14ac:dyDescent="0.25">
      <c r="A281" s="217" t="str">
        <f>'инновации+добровольчество0,41'!A328</f>
        <v>антифриз</v>
      </c>
      <c r="B281" s="170" t="s">
        <v>88</v>
      </c>
      <c r="C281" s="297"/>
      <c r="D281" s="229">
        <f>Лист1!C33*$A$247</f>
        <v>0.62</v>
      </c>
      <c r="E281" s="489">
        <f>Лист1!D33</f>
        <v>560</v>
      </c>
      <c r="F281" s="247">
        <f t="shared" si="14"/>
        <v>347.2</v>
      </c>
    </row>
    <row r="282" spans="1:6" x14ac:dyDescent="0.25">
      <c r="A282" s="217" t="str">
        <f>'инновации+добровольчество0,41'!A329</f>
        <v>ледоруб</v>
      </c>
      <c r="B282" s="170" t="s">
        <v>88</v>
      </c>
      <c r="C282" s="297"/>
      <c r="D282" s="229">
        <f>Лист1!C34*$A$247</f>
        <v>0.31</v>
      </c>
      <c r="E282" s="489">
        <f>Лист1!D34</f>
        <v>677</v>
      </c>
      <c r="F282" s="247">
        <f t="shared" si="14"/>
        <v>209.87</v>
      </c>
    </row>
    <row r="283" spans="1:6" x14ac:dyDescent="0.25">
      <c r="A283" s="217" t="str">
        <f>'инновации+добровольчество0,41'!A330</f>
        <v>труба</v>
      </c>
      <c r="B283" s="170" t="s">
        <v>88</v>
      </c>
      <c r="C283" s="297"/>
      <c r="D283" s="229">
        <f>Лист1!C35*$A$247</f>
        <v>0.92999999999999994</v>
      </c>
      <c r="E283" s="489">
        <f>Лист1!D35</f>
        <v>650</v>
      </c>
      <c r="F283" s="247">
        <f t="shared" si="14"/>
        <v>604.5</v>
      </c>
    </row>
    <row r="284" spans="1:6" x14ac:dyDescent="0.25">
      <c r="A284" s="217" t="str">
        <f>'инновации+добровольчество0,41'!A331</f>
        <v>кронштейн</v>
      </c>
      <c r="B284" s="170" t="s">
        <v>88</v>
      </c>
      <c r="C284" s="297"/>
      <c r="D284" s="229">
        <f>Лист1!C36*$A$247</f>
        <v>0.62</v>
      </c>
      <c r="E284" s="489">
        <f>Лист1!D36</f>
        <v>32</v>
      </c>
      <c r="F284" s="247">
        <f t="shared" si="14"/>
        <v>19.84</v>
      </c>
    </row>
    <row r="285" spans="1:6" x14ac:dyDescent="0.25">
      <c r="A285" s="217" t="str">
        <f>'инновации+добровольчество0,41'!A332</f>
        <v>электрод</v>
      </c>
      <c r="B285" s="170" t="s">
        <v>88</v>
      </c>
      <c r="C285" s="297"/>
      <c r="D285" s="229">
        <f>Лист1!C37*$A$247</f>
        <v>0.31</v>
      </c>
      <c r="E285" s="489">
        <f>Лист1!D37</f>
        <v>250</v>
      </c>
      <c r="F285" s="247">
        <f t="shared" si="14"/>
        <v>77.5</v>
      </c>
    </row>
    <row r="286" spans="1:6" x14ac:dyDescent="0.25">
      <c r="A286" s="217" t="str">
        <f>'инновации+добровольчество0,41'!A333</f>
        <v>круг отрезной</v>
      </c>
      <c r="B286" s="170" t="s">
        <v>88</v>
      </c>
      <c r="C286" s="297"/>
      <c r="D286" s="229">
        <f>Лист1!C38*$A$247</f>
        <v>3.41</v>
      </c>
      <c r="E286" s="489">
        <f>Лист1!D38</f>
        <v>50</v>
      </c>
      <c r="F286" s="247">
        <f t="shared" si="14"/>
        <v>170.5</v>
      </c>
    </row>
    <row r="287" spans="1:6" x14ac:dyDescent="0.25">
      <c r="A287" s="217" t="str">
        <f>'инновации+добровольчество0,41'!A334</f>
        <v>круг отрезной</v>
      </c>
      <c r="B287" s="170" t="s">
        <v>88</v>
      </c>
      <c r="C287" s="297"/>
      <c r="D287" s="229">
        <f>Лист1!C39*$A$247</f>
        <v>0.92999999999999994</v>
      </c>
      <c r="E287" s="489">
        <f>Лист1!D39</f>
        <v>41</v>
      </c>
      <c r="F287" s="247">
        <f t="shared" si="14"/>
        <v>38.129999999999995</v>
      </c>
    </row>
    <row r="288" spans="1:6" x14ac:dyDescent="0.25">
      <c r="A288" s="217" t="str">
        <f>'инновации+добровольчество0,41'!A335</f>
        <v>круг отрезной</v>
      </c>
      <c r="B288" s="170" t="s">
        <v>88</v>
      </c>
      <c r="C288" s="297"/>
      <c r="D288" s="229">
        <f>Лист1!C40*$A$247</f>
        <v>0.31</v>
      </c>
      <c r="E288" s="489">
        <f>Лист1!D40</f>
        <v>50</v>
      </c>
      <c r="F288" s="247">
        <f t="shared" si="14"/>
        <v>15.5</v>
      </c>
    </row>
    <row r="289" spans="1:6" x14ac:dyDescent="0.25">
      <c r="A289" s="217" t="str">
        <f>'инновации+добровольчество0,41'!A336</f>
        <v>круг зачистной</v>
      </c>
      <c r="B289" s="170" t="s">
        <v>88</v>
      </c>
      <c r="C289" s="297"/>
      <c r="D289" s="229">
        <f>Лист1!C41*$A$247</f>
        <v>0.31</v>
      </c>
      <c r="E289" s="489">
        <f>Лист1!D41</f>
        <v>144</v>
      </c>
      <c r="F289" s="247">
        <f t="shared" si="14"/>
        <v>44.64</v>
      </c>
    </row>
    <row r="290" spans="1:6" x14ac:dyDescent="0.25">
      <c r="A290" s="217" t="str">
        <f>'инновации+добровольчество0,41'!A337</f>
        <v>кабель-канал</v>
      </c>
      <c r="B290" s="170" t="s">
        <v>88</v>
      </c>
      <c r="C290" s="297"/>
      <c r="D290" s="229">
        <f>Лист1!C42*$A$247</f>
        <v>0.31</v>
      </c>
      <c r="E290" s="489">
        <f>Лист1!D42</f>
        <v>95</v>
      </c>
      <c r="F290" s="247">
        <f t="shared" si="14"/>
        <v>29.45</v>
      </c>
    </row>
    <row r="291" spans="1:6" x14ac:dyDescent="0.25">
      <c r="A291" s="217" t="str">
        <f>'инновации+добровольчество0,41'!A338</f>
        <v>саморез</v>
      </c>
      <c r="B291" s="170" t="s">
        <v>88</v>
      </c>
      <c r="C291" s="297"/>
      <c r="D291" s="229">
        <f>Лист1!C43*$A$247</f>
        <v>15.5</v>
      </c>
      <c r="E291" s="489">
        <f>Лист1!D43</f>
        <v>3.5</v>
      </c>
      <c r="F291" s="247">
        <f t="shared" si="14"/>
        <v>54.25</v>
      </c>
    </row>
    <row r="292" spans="1:6" x14ac:dyDescent="0.25">
      <c r="A292" s="217" t="str">
        <f>'инновации+добровольчество0,41'!A339</f>
        <v>лопата</v>
      </c>
      <c r="B292" s="170" t="s">
        <v>88</v>
      </c>
      <c r="C292" s="297"/>
      <c r="D292" s="229">
        <f>Лист1!C44*$A$247</f>
        <v>0.62</v>
      </c>
      <c r="E292" s="489">
        <f>Лист1!D44</f>
        <v>219</v>
      </c>
      <c r="F292" s="247">
        <f t="shared" si="14"/>
        <v>135.78</v>
      </c>
    </row>
    <row r="293" spans="1:6" x14ac:dyDescent="0.25">
      <c r="A293" s="217" t="str">
        <f>'инновации+добровольчество0,41'!A340</f>
        <v>черенок</v>
      </c>
      <c r="B293" s="170" t="s">
        <v>88</v>
      </c>
      <c r="C293" s="297"/>
      <c r="D293" s="229">
        <f>Лист1!C45*$A$247</f>
        <v>0.62</v>
      </c>
      <c r="E293" s="489">
        <f>Лист1!D45</f>
        <v>80</v>
      </c>
      <c r="F293" s="247">
        <f t="shared" si="14"/>
        <v>49.6</v>
      </c>
    </row>
    <row r="294" spans="1:6" x14ac:dyDescent="0.25">
      <c r="A294" s="217" t="str">
        <f>'инновации+добровольчество0,41'!A341</f>
        <v>домкрат</v>
      </c>
      <c r="B294" s="170" t="s">
        <v>88</v>
      </c>
      <c r="C294" s="297"/>
      <c r="D294" s="229">
        <f>Лист1!C46*$A$247</f>
        <v>0.31</v>
      </c>
      <c r="E294" s="489">
        <f>Лист1!D46</f>
        <v>2058</v>
      </c>
      <c r="F294" s="247">
        <f t="shared" si="14"/>
        <v>637.98</v>
      </c>
    </row>
    <row r="295" spans="1:6" x14ac:dyDescent="0.25">
      <c r="A295" s="217" t="str">
        <f>'инновации+добровольчество0,41'!A342</f>
        <v>стяжка</v>
      </c>
      <c r="B295" s="170" t="s">
        <v>88</v>
      </c>
      <c r="C295" s="297"/>
      <c r="D295" s="229">
        <f>Лист1!C47*$A$247</f>
        <v>0.31</v>
      </c>
      <c r="E295" s="489">
        <f>Лист1!D47</f>
        <v>277</v>
      </c>
      <c r="F295" s="247">
        <f t="shared" si="14"/>
        <v>85.87</v>
      </c>
    </row>
    <row r="296" spans="1:6" x14ac:dyDescent="0.25">
      <c r="A296" s="217" t="str">
        <f>'инновации+добровольчество0,41'!A343</f>
        <v>смазка</v>
      </c>
      <c r="B296" s="170" t="s">
        <v>88</v>
      </c>
      <c r="C296" s="297"/>
      <c r="D296" s="229">
        <f>Лист1!C48*$A$247</f>
        <v>0.31</v>
      </c>
      <c r="E296" s="489">
        <f>Лист1!D48</f>
        <v>299</v>
      </c>
      <c r="F296" s="247">
        <f t="shared" si="14"/>
        <v>92.69</v>
      </c>
    </row>
    <row r="297" spans="1:6" x14ac:dyDescent="0.25">
      <c r="A297" s="217" t="str">
        <f>'инновации+добровольчество0,41'!A344</f>
        <v>лопата</v>
      </c>
      <c r="B297" s="170" t="s">
        <v>88</v>
      </c>
      <c r="C297" s="297"/>
      <c r="D297" s="229">
        <f>Лист1!C49*$A$247</f>
        <v>0.31</v>
      </c>
      <c r="E297" s="489">
        <f>Лист1!D49</f>
        <v>250</v>
      </c>
      <c r="F297" s="247">
        <f t="shared" si="14"/>
        <v>77.5</v>
      </c>
    </row>
    <row r="298" spans="1:6" x14ac:dyDescent="0.25">
      <c r="A298" s="217" t="str">
        <f>'инновации+добровольчество0,41'!A345</f>
        <v>ключи</v>
      </c>
      <c r="B298" s="170" t="s">
        <v>88</v>
      </c>
      <c r="C298" s="297"/>
      <c r="D298" s="229">
        <f>Лист1!C50*$A$247</f>
        <v>0.31</v>
      </c>
      <c r="E298" s="489">
        <f>Лист1!D50</f>
        <v>245</v>
      </c>
      <c r="F298" s="247">
        <f t="shared" si="14"/>
        <v>75.95</v>
      </c>
    </row>
    <row r="299" spans="1:6" x14ac:dyDescent="0.25">
      <c r="A299" s="217" t="str">
        <f>'инновации+добровольчество0,41'!A346</f>
        <v>болт</v>
      </c>
      <c r="B299" s="170" t="s">
        <v>88</v>
      </c>
      <c r="C299" s="297"/>
      <c r="D299" s="229">
        <f>Лист1!C51*$A$247</f>
        <v>1.24</v>
      </c>
      <c r="E299" s="489">
        <f>Лист1!D51</f>
        <v>10</v>
      </c>
      <c r="F299" s="247">
        <f t="shared" si="14"/>
        <v>12.4</v>
      </c>
    </row>
    <row r="300" spans="1:6" x14ac:dyDescent="0.25">
      <c r="A300" s="217" t="str">
        <f>'инновации+добровольчество0,41'!A347</f>
        <v>гайка</v>
      </c>
      <c r="B300" s="170" t="s">
        <v>88</v>
      </c>
      <c r="C300" s="297"/>
      <c r="D300" s="229">
        <f>Лист1!C52*$A$247</f>
        <v>1.24</v>
      </c>
      <c r="E300" s="489">
        <f>Лист1!D52</f>
        <v>2</v>
      </c>
      <c r="F300" s="247">
        <f t="shared" si="14"/>
        <v>2.48</v>
      </c>
    </row>
    <row r="301" spans="1:6" x14ac:dyDescent="0.25">
      <c r="A301" s="217" t="str">
        <f>'инновации+добровольчество0,41'!A348</f>
        <v>эмаль аэрозоль</v>
      </c>
      <c r="B301" s="170" t="s">
        <v>88</v>
      </c>
      <c r="C301" s="297"/>
      <c r="D301" s="229">
        <f>Лист1!C53*$A$247</f>
        <v>0.92999999999999994</v>
      </c>
      <c r="E301" s="489">
        <f>Лист1!D53</f>
        <v>226</v>
      </c>
      <c r="F301" s="247">
        <f t="shared" si="14"/>
        <v>210.17999999999998</v>
      </c>
    </row>
    <row r="302" spans="1:6" x14ac:dyDescent="0.25">
      <c r="A302" s="217" t="str">
        <f>'инновации+добровольчество0,41'!A349</f>
        <v>бумага нажд</v>
      </c>
      <c r="B302" s="170" t="s">
        <v>88</v>
      </c>
      <c r="C302" s="297"/>
      <c r="D302" s="229">
        <f>Лист1!C54*$A$247</f>
        <v>6.2</v>
      </c>
      <c r="E302" s="489">
        <f>Лист1!D54</f>
        <v>17</v>
      </c>
      <c r="F302" s="247">
        <f t="shared" si="14"/>
        <v>105.4</v>
      </c>
    </row>
    <row r="303" spans="1:6" x14ac:dyDescent="0.25">
      <c r="A303" s="217" t="str">
        <f>'инновации+добровольчество0,41'!A350</f>
        <v>круг отрезной</v>
      </c>
      <c r="B303" s="170" t="s">
        <v>88</v>
      </c>
      <c r="C303" s="297"/>
      <c r="D303" s="229">
        <f>Лист1!C55*$A$247</f>
        <v>3.1</v>
      </c>
      <c r="E303" s="489">
        <f>Лист1!D55</f>
        <v>34</v>
      </c>
      <c r="F303" s="247">
        <f t="shared" si="14"/>
        <v>105.4</v>
      </c>
    </row>
    <row r="304" spans="1:6" x14ac:dyDescent="0.25">
      <c r="A304" s="217" t="str">
        <f>'инновации+добровольчество0,41'!A351</f>
        <v>герметик</v>
      </c>
      <c r="B304" s="170" t="s">
        <v>88</v>
      </c>
      <c r="C304" s="297"/>
      <c r="D304" s="229">
        <f>Лист1!C56*$A$247</f>
        <v>0.31</v>
      </c>
      <c r="E304" s="489">
        <f>Лист1!D56</f>
        <v>266</v>
      </c>
      <c r="F304" s="247">
        <f t="shared" si="14"/>
        <v>82.46</v>
      </c>
    </row>
    <row r="305" spans="1:6" x14ac:dyDescent="0.25">
      <c r="A305" s="217" t="str">
        <f>'инновации+добровольчество0,41'!A352</f>
        <v>кенгуру</v>
      </c>
      <c r="B305" s="170" t="s">
        <v>88</v>
      </c>
      <c r="C305" s="297"/>
      <c r="D305" s="229">
        <f>Лист1!C57*$A$247</f>
        <v>0.62</v>
      </c>
      <c r="E305" s="489">
        <f>Лист1!D57</f>
        <v>274</v>
      </c>
      <c r="F305" s="247">
        <f t="shared" si="14"/>
        <v>169.88</v>
      </c>
    </row>
    <row r="306" spans="1:6" x14ac:dyDescent="0.25">
      <c r="A306" s="217" t="str">
        <f>'инновации+добровольчество0,41'!A353</f>
        <v>цемент 50 кг</v>
      </c>
      <c r="B306" s="170" t="s">
        <v>88</v>
      </c>
      <c r="C306" s="297"/>
      <c r="D306" s="229">
        <f>Лист1!C58*$A$247</f>
        <v>0.62</v>
      </c>
      <c r="E306" s="489">
        <f>Лист1!D58</f>
        <v>800</v>
      </c>
      <c r="F306" s="247">
        <f t="shared" si="14"/>
        <v>496</v>
      </c>
    </row>
    <row r="307" spans="1:6" x14ac:dyDescent="0.25">
      <c r="A307" s="217" t="str">
        <f>'инновации+добровольчество0,41'!A354</f>
        <v>эмаль аэрозоль</v>
      </c>
      <c r="B307" s="170" t="s">
        <v>88</v>
      </c>
      <c r="C307" s="297"/>
      <c r="D307" s="229">
        <f>Лист1!C59*$A$247</f>
        <v>1.55</v>
      </c>
      <c r="E307" s="489">
        <f>Лист1!D59</f>
        <v>193</v>
      </c>
      <c r="F307" s="247">
        <f t="shared" si="14"/>
        <v>299.15000000000003</v>
      </c>
    </row>
    <row r="308" spans="1:6" x14ac:dyDescent="0.25">
      <c r="A308" s="217" t="str">
        <f>'инновации+добровольчество0,41'!A355</f>
        <v>эмаль аэрозоль</v>
      </c>
      <c r="B308" s="170" t="s">
        <v>88</v>
      </c>
      <c r="C308" s="297"/>
      <c r="D308" s="229">
        <f>Лист1!C60*$A$247</f>
        <v>1.55</v>
      </c>
      <c r="E308" s="489">
        <f>Лист1!D60</f>
        <v>185</v>
      </c>
      <c r="F308" s="247">
        <f t="shared" si="14"/>
        <v>286.75</v>
      </c>
    </row>
    <row r="309" spans="1:6" x14ac:dyDescent="0.25">
      <c r="A309" s="217" t="str">
        <f>'инновации+добровольчество0,41'!A356</f>
        <v>рукав резина</v>
      </c>
      <c r="B309" s="170" t="s">
        <v>88</v>
      </c>
      <c r="C309" s="297"/>
      <c r="D309" s="229">
        <f>Лист1!C61*$A$247</f>
        <v>1.8599999999999999</v>
      </c>
      <c r="E309" s="489">
        <f>Лист1!D61</f>
        <v>280</v>
      </c>
      <c r="F309" s="247">
        <f t="shared" ref="F309:F352" si="15">D309*E309</f>
        <v>520.79999999999995</v>
      </c>
    </row>
    <row r="310" spans="1:6" x14ac:dyDescent="0.25">
      <c r="A310" s="217" t="str">
        <f>'инновации+добровольчество0,41'!A357</f>
        <v>лампа</v>
      </c>
      <c r="B310" s="170" t="s">
        <v>88</v>
      </c>
      <c r="C310" s="297"/>
      <c r="D310" s="229">
        <f>Лист1!C62*$A$247</f>
        <v>1.55</v>
      </c>
      <c r="E310" s="489">
        <f>Лист1!D62</f>
        <v>139</v>
      </c>
      <c r="F310" s="247">
        <f t="shared" si="15"/>
        <v>215.45000000000002</v>
      </c>
    </row>
    <row r="311" spans="1:6" x14ac:dyDescent="0.25">
      <c r="A311" s="217" t="str">
        <f>'инновации+добровольчество0,41'!A358</f>
        <v>лампа энергосберегающая</v>
      </c>
      <c r="B311" s="170" t="s">
        <v>88</v>
      </c>
      <c r="C311" s="297"/>
      <c r="D311" s="229">
        <f>Лист1!C63*$A$247</f>
        <v>0.31</v>
      </c>
      <c r="E311" s="489">
        <f>Лист1!D63</f>
        <v>190</v>
      </c>
      <c r="F311" s="247">
        <f t="shared" si="15"/>
        <v>58.9</v>
      </c>
    </row>
    <row r="312" spans="1:6" x14ac:dyDescent="0.25">
      <c r="A312" s="217" t="str">
        <f>'инновации+добровольчество0,41'!A359</f>
        <v>антифриз</v>
      </c>
      <c r="B312" s="170" t="s">
        <v>88</v>
      </c>
      <c r="C312" s="297"/>
      <c r="D312" s="229">
        <f>Лист1!C64*$A$247</f>
        <v>0.31</v>
      </c>
      <c r="E312" s="489">
        <f>Лист1!D64</f>
        <v>630</v>
      </c>
      <c r="F312" s="247">
        <f t="shared" si="15"/>
        <v>195.3</v>
      </c>
    </row>
    <row r="313" spans="1:6" x14ac:dyDescent="0.25">
      <c r="A313" s="217" t="str">
        <f>'инновации+добровольчество0,41'!A360</f>
        <v>коврик автомобильный</v>
      </c>
      <c r="B313" s="170" t="s">
        <v>88</v>
      </c>
      <c r="C313" s="297"/>
      <c r="D313" s="229">
        <f>Лист1!C65*$A$247</f>
        <v>0.31</v>
      </c>
      <c r="E313" s="489">
        <f>Лист1!D65</f>
        <v>3400</v>
      </c>
      <c r="F313" s="247">
        <f t="shared" si="15"/>
        <v>1054</v>
      </c>
    </row>
    <row r="314" spans="1:6" x14ac:dyDescent="0.25">
      <c r="A314" s="217" t="str">
        <f>'инновации+добровольчество0,41'!A361</f>
        <v>краска акрил</v>
      </c>
      <c r="B314" s="170" t="s">
        <v>88</v>
      </c>
      <c r="C314" s="297"/>
      <c r="D314" s="229">
        <f>Лист1!C66*$A$247</f>
        <v>0.92999999999999994</v>
      </c>
      <c r="E314" s="489">
        <f>Лист1!D66</f>
        <v>1135</v>
      </c>
      <c r="F314" s="247">
        <f t="shared" si="15"/>
        <v>1055.55</v>
      </c>
    </row>
    <row r="315" spans="1:6" x14ac:dyDescent="0.25">
      <c r="A315" s="217" t="str">
        <f>'инновации+добровольчество0,41'!A362</f>
        <v>валик</v>
      </c>
      <c r="B315" s="170" t="s">
        <v>88</v>
      </c>
      <c r="C315" s="297"/>
      <c r="D315" s="229">
        <f>Лист1!C67*$A$247</f>
        <v>1.24</v>
      </c>
      <c r="E315" s="489">
        <f>Лист1!D67</f>
        <v>72.5</v>
      </c>
      <c r="F315" s="247">
        <f t="shared" si="15"/>
        <v>89.9</v>
      </c>
    </row>
    <row r="316" spans="1:6" x14ac:dyDescent="0.25">
      <c r="A316" s="217" t="str">
        <f>'инновации+добровольчество0,41'!A363</f>
        <v>скотч маляр</v>
      </c>
      <c r="B316" s="170" t="s">
        <v>88</v>
      </c>
      <c r="C316" s="297"/>
      <c r="D316" s="229">
        <f>Лист1!C68*$A$247</f>
        <v>1.55</v>
      </c>
      <c r="E316" s="489">
        <f>Лист1!D68</f>
        <v>115</v>
      </c>
      <c r="F316" s="247">
        <f t="shared" si="15"/>
        <v>178.25</v>
      </c>
    </row>
    <row r="317" spans="1:6" x14ac:dyDescent="0.25">
      <c r="A317" s="217" t="str">
        <f>'инновации+добровольчество0,41'!A364</f>
        <v xml:space="preserve">колер </v>
      </c>
      <c r="B317" s="170" t="s">
        <v>88</v>
      </c>
      <c r="C317" s="297"/>
      <c r="D317" s="229">
        <f>Лист1!C69*$A$247</f>
        <v>1.55</v>
      </c>
      <c r="E317" s="489">
        <f>Лист1!D69</f>
        <v>161</v>
      </c>
      <c r="F317" s="247">
        <f t="shared" si="15"/>
        <v>249.55</v>
      </c>
    </row>
    <row r="318" spans="1:6" x14ac:dyDescent="0.25">
      <c r="A318" s="217" t="str">
        <f>'инновации+добровольчество0,41'!A365</f>
        <v>скотч маляр</v>
      </c>
      <c r="B318" s="170" t="s">
        <v>88</v>
      </c>
      <c r="C318" s="297"/>
      <c r="D318" s="229">
        <f>Лист1!C70*$A$247</f>
        <v>3.41</v>
      </c>
      <c r="E318" s="489">
        <f>Лист1!D70</f>
        <v>50</v>
      </c>
      <c r="F318" s="247">
        <f t="shared" si="15"/>
        <v>170.5</v>
      </c>
    </row>
    <row r="319" spans="1:6" x14ac:dyDescent="0.25">
      <c r="A319" s="217" t="str">
        <f>'инновации+добровольчество0,41'!A366</f>
        <v>паста колеровочная</v>
      </c>
      <c r="B319" s="170" t="s">
        <v>88</v>
      </c>
      <c r="C319" s="297"/>
      <c r="D319" s="229">
        <f>Лист1!C71*$A$247</f>
        <v>3.1</v>
      </c>
      <c r="E319" s="489">
        <f>Лист1!D71</f>
        <v>109</v>
      </c>
      <c r="F319" s="247">
        <f t="shared" si="15"/>
        <v>337.90000000000003</v>
      </c>
    </row>
    <row r="320" spans="1:6" x14ac:dyDescent="0.25">
      <c r="A320" s="217" t="str">
        <f>'инновации+добровольчество0,41'!A367</f>
        <v>колер</v>
      </c>
      <c r="B320" s="170" t="s">
        <v>88</v>
      </c>
      <c r="C320" s="297"/>
      <c r="D320" s="229">
        <f>Лист1!C72*$A$247</f>
        <v>2.48</v>
      </c>
      <c r="E320" s="489">
        <f>Лист1!D72</f>
        <v>50</v>
      </c>
      <c r="F320" s="247">
        <f t="shared" si="15"/>
        <v>124</v>
      </c>
    </row>
    <row r="321" spans="1:6" x14ac:dyDescent="0.25">
      <c r="A321" s="217" t="str">
        <f>'инновации+добровольчество0,41'!A368</f>
        <v>краска акрил</v>
      </c>
      <c r="B321" s="170" t="s">
        <v>88</v>
      </c>
      <c r="C321" s="297"/>
      <c r="D321" s="229">
        <f>Лист1!C73*$A$247</f>
        <v>0.31</v>
      </c>
      <c r="E321" s="489">
        <f>Лист1!D73</f>
        <v>360</v>
      </c>
      <c r="F321" s="247">
        <f t="shared" si="15"/>
        <v>111.6</v>
      </c>
    </row>
    <row r="322" spans="1:6" x14ac:dyDescent="0.25">
      <c r="A322" s="217" t="str">
        <f>'инновации+добровольчество0,41'!A369</f>
        <v>насадка на валик</v>
      </c>
      <c r="B322" s="170" t="s">
        <v>88</v>
      </c>
      <c r="C322" s="297"/>
      <c r="D322" s="229">
        <f>Лист1!C74*$A$247</f>
        <v>1.24</v>
      </c>
      <c r="E322" s="489">
        <f>Лист1!D74</f>
        <v>20</v>
      </c>
      <c r="F322" s="247">
        <f t="shared" si="15"/>
        <v>24.8</v>
      </c>
    </row>
    <row r="323" spans="1:6" x14ac:dyDescent="0.25">
      <c r="A323" s="217" t="str">
        <f>'инновации+добровольчество0,41'!A370</f>
        <v>HDMI кабель 5м</v>
      </c>
      <c r="B323" s="170" t="s">
        <v>88</v>
      </c>
      <c r="C323" s="297"/>
      <c r="D323" s="229">
        <f>Лист1!C75*$A$247</f>
        <v>0.31</v>
      </c>
      <c r="E323" s="489">
        <f>Лист1!D75</f>
        <v>600</v>
      </c>
      <c r="F323" s="247">
        <f t="shared" si="15"/>
        <v>186</v>
      </c>
    </row>
    <row r="324" spans="1:6" x14ac:dyDescent="0.25">
      <c r="A324" s="217" t="str">
        <f>'инновации+добровольчество0,41'!A371</f>
        <v>HDMI кабель 10м</v>
      </c>
      <c r="B324" s="170" t="s">
        <v>88</v>
      </c>
      <c r="C324" s="297"/>
      <c r="D324" s="229">
        <f>Лист1!C76*$A$247</f>
        <v>0.31</v>
      </c>
      <c r="E324" s="489">
        <f>Лист1!D76</f>
        <v>900</v>
      </c>
      <c r="F324" s="247">
        <f t="shared" si="15"/>
        <v>279</v>
      </c>
    </row>
    <row r="325" spans="1:6" x14ac:dyDescent="0.25">
      <c r="A325" s="217" t="str">
        <f>'инновации+добровольчество0,41'!A372</f>
        <v>сумка для ноутбука</v>
      </c>
      <c r="B325" s="170" t="s">
        <v>88</v>
      </c>
      <c r="C325" s="297"/>
      <c r="D325" s="229">
        <f>Лист1!C77*$A$247</f>
        <v>0.92999999999999994</v>
      </c>
      <c r="E325" s="489">
        <f>Лист1!D77</f>
        <v>1400</v>
      </c>
      <c r="F325" s="247">
        <f t="shared" si="15"/>
        <v>1302</v>
      </c>
    </row>
    <row r="326" spans="1:6" x14ac:dyDescent="0.25">
      <c r="A326" s="217" t="str">
        <f>'инновации+добровольчество0,41'!A373</f>
        <v>флеш карта</v>
      </c>
      <c r="B326" s="170" t="s">
        <v>88</v>
      </c>
      <c r="C326" s="297"/>
      <c r="D326" s="229">
        <f>Лист1!C78*$A$247</f>
        <v>1.8599999999999999</v>
      </c>
      <c r="E326" s="489">
        <f>Лист1!D78</f>
        <v>700</v>
      </c>
      <c r="F326" s="247">
        <f t="shared" si="15"/>
        <v>1302</v>
      </c>
    </row>
    <row r="327" spans="1:6" x14ac:dyDescent="0.25">
      <c r="A327" s="217" t="str">
        <f>'инновации+добровольчество0,41'!A374</f>
        <v>кулер для процессора</v>
      </c>
      <c r="B327" s="170" t="s">
        <v>88</v>
      </c>
      <c r="C327" s="297"/>
      <c r="D327" s="229">
        <f>Лист1!C79*$A$247</f>
        <v>0.31</v>
      </c>
      <c r="E327" s="489">
        <f>Лист1!D79</f>
        <v>700</v>
      </c>
      <c r="F327" s="247">
        <f t="shared" si="15"/>
        <v>217</v>
      </c>
    </row>
    <row r="328" spans="1:6" x14ac:dyDescent="0.25">
      <c r="A328" s="217" t="str">
        <f>'инновации+добровольчество0,41'!A375</f>
        <v>блок питания</v>
      </c>
      <c r="B328" s="170" t="s">
        <v>88</v>
      </c>
      <c r="C328" s="297"/>
      <c r="D328" s="229">
        <f>Лист1!C80*$A$247</f>
        <v>0.31</v>
      </c>
      <c r="E328" s="489">
        <f>Лист1!D80</f>
        <v>1650</v>
      </c>
      <c r="F328" s="247">
        <f t="shared" si="15"/>
        <v>511.5</v>
      </c>
    </row>
    <row r="329" spans="1:6" x14ac:dyDescent="0.25">
      <c r="A329" s="217" t="str">
        <f>'инновации+добровольчество0,41'!A376</f>
        <v>клавиатура</v>
      </c>
      <c r="B329" s="170" t="s">
        <v>88</v>
      </c>
      <c r="C329" s="297"/>
      <c r="D329" s="229">
        <f>Лист1!C81*$A$247</f>
        <v>0.92999999999999994</v>
      </c>
      <c r="E329" s="489">
        <f>Лист1!D81</f>
        <v>1700</v>
      </c>
      <c r="F329" s="247">
        <f t="shared" si="15"/>
        <v>1581</v>
      </c>
    </row>
    <row r="330" spans="1:6" x14ac:dyDescent="0.25">
      <c r="A330" s="217" t="str">
        <f>'инновации+добровольчество0,41'!A377</f>
        <v>снеговая лопата</v>
      </c>
      <c r="B330" s="170" t="s">
        <v>88</v>
      </c>
      <c r="C330" s="297"/>
      <c r="D330" s="229">
        <f>Лист1!C82*$A$247</f>
        <v>0.31</v>
      </c>
      <c r="E330" s="489">
        <f>Лист1!D82</f>
        <v>340</v>
      </c>
      <c r="F330" s="247">
        <f t="shared" si="15"/>
        <v>105.4</v>
      </c>
    </row>
    <row r="331" spans="1:6" x14ac:dyDescent="0.25">
      <c r="A331" s="217" t="str">
        <f>'инновации+добровольчество0,41'!A378</f>
        <v>уголок</v>
      </c>
      <c r="B331" s="170" t="s">
        <v>88</v>
      </c>
      <c r="C331" s="297"/>
      <c r="D331" s="229">
        <f>Лист1!C83*$A$247</f>
        <v>6.2</v>
      </c>
      <c r="E331" s="489">
        <f>Лист1!D83</f>
        <v>10</v>
      </c>
      <c r="F331" s="247">
        <f t="shared" si="15"/>
        <v>62</v>
      </c>
    </row>
    <row r="332" spans="1:6" x14ac:dyDescent="0.25">
      <c r="A332" s="217" t="str">
        <f>'инновации+добровольчество0,41'!A379</f>
        <v>перчатки</v>
      </c>
      <c r="B332" s="170" t="s">
        <v>88</v>
      </c>
      <c r="C332" s="297"/>
      <c r="D332" s="229">
        <f>Лист1!C84*$A$247</f>
        <v>0.31</v>
      </c>
      <c r="E332" s="489">
        <f>Лист1!D84</f>
        <v>160</v>
      </c>
      <c r="F332" s="247">
        <f t="shared" si="15"/>
        <v>49.6</v>
      </c>
    </row>
    <row r="333" spans="1:6" x14ac:dyDescent="0.25">
      <c r="A333" s="217" t="str">
        <f>'инновации+добровольчество0,41'!A380</f>
        <v>шпатель</v>
      </c>
      <c r="B333" s="170" t="s">
        <v>88</v>
      </c>
      <c r="C333" s="297"/>
      <c r="D333" s="229">
        <f>Лист1!C85*$A$247</f>
        <v>0.31</v>
      </c>
      <c r="E333" s="489">
        <f>Лист1!D85</f>
        <v>70</v>
      </c>
      <c r="F333" s="247">
        <f t="shared" si="15"/>
        <v>21.7</v>
      </c>
    </row>
    <row r="334" spans="1:6" x14ac:dyDescent="0.25">
      <c r="A334" s="217" t="str">
        <f>'инновации+добровольчество0,41'!A381</f>
        <v>шпатлевка</v>
      </c>
      <c r="B334" s="170" t="s">
        <v>88</v>
      </c>
      <c r="C334" s="297"/>
      <c r="D334" s="229">
        <f>Лист1!C86*$A$247</f>
        <v>0.31</v>
      </c>
      <c r="E334" s="489">
        <f>Лист1!D86</f>
        <v>110</v>
      </c>
      <c r="F334" s="247">
        <f t="shared" si="15"/>
        <v>34.1</v>
      </c>
    </row>
    <row r="335" spans="1:6" x14ac:dyDescent="0.25">
      <c r="A335" s="217" t="str">
        <f>'инновации+добровольчество0,41'!A382</f>
        <v>алебастр</v>
      </c>
      <c r="B335" s="170" t="s">
        <v>88</v>
      </c>
      <c r="C335" s="297"/>
      <c r="D335" s="229">
        <f>Лист1!C87*$A$247</f>
        <v>0.31</v>
      </c>
      <c r="E335" s="489">
        <f>Лист1!D87</f>
        <v>35</v>
      </c>
      <c r="F335" s="247">
        <f t="shared" si="15"/>
        <v>10.85</v>
      </c>
    </row>
    <row r="336" spans="1:6" x14ac:dyDescent="0.25">
      <c r="A336" s="217" t="str">
        <f>'инновации+добровольчество0,41'!A383</f>
        <v>кран шаровый</v>
      </c>
      <c r="B336" s="170" t="s">
        <v>88</v>
      </c>
      <c r="C336" s="297"/>
      <c r="D336" s="229">
        <f>Лист1!C88*$A$247</f>
        <v>1.8599999999999999</v>
      </c>
      <c r="E336" s="489">
        <f>Лист1!D88</f>
        <v>840</v>
      </c>
      <c r="F336" s="247">
        <f t="shared" si="15"/>
        <v>1562.3999999999999</v>
      </c>
    </row>
    <row r="337" spans="1:6" x14ac:dyDescent="0.25">
      <c r="A337" s="217" t="str">
        <f>'инновации+добровольчество0,41'!A384</f>
        <v>мешок зеленый</v>
      </c>
      <c r="B337" s="170" t="s">
        <v>88</v>
      </c>
      <c r="C337" s="297"/>
      <c r="D337" s="229">
        <f>Лист1!C89*$A$247</f>
        <v>15.5</v>
      </c>
      <c r="E337" s="489">
        <f>Лист1!D89</f>
        <v>12</v>
      </c>
      <c r="F337" s="247">
        <f t="shared" si="15"/>
        <v>186</v>
      </c>
    </row>
    <row r="338" spans="1:6" x14ac:dyDescent="0.25">
      <c r="A338" s="217" t="str">
        <f>'инновации+добровольчество0,41'!A385</f>
        <v>настольная игра "тараканьи бега"</v>
      </c>
      <c r="B338" s="170" t="s">
        <v>88</v>
      </c>
      <c r="C338" s="297"/>
      <c r="D338" s="229">
        <f>Лист1!C90*$A$247</f>
        <v>0.31</v>
      </c>
      <c r="E338" s="489">
        <f>Лист1!D90</f>
        <v>2100</v>
      </c>
      <c r="F338" s="247">
        <f t="shared" si="15"/>
        <v>651</v>
      </c>
    </row>
    <row r="339" spans="1:6" x14ac:dyDescent="0.25">
      <c r="A339" s="217" t="str">
        <f>'инновации+добровольчество0,41'!A386</f>
        <v>настольная игра "Свинтус"</v>
      </c>
      <c r="B339" s="170" t="s">
        <v>88</v>
      </c>
      <c r="C339" s="297"/>
      <c r="D339" s="229">
        <f>Лист1!C91*$A$247</f>
        <v>0.31</v>
      </c>
      <c r="E339" s="489">
        <f>Лист1!D91</f>
        <v>1800</v>
      </c>
      <c r="F339" s="247">
        <f t="shared" si="15"/>
        <v>558</v>
      </c>
    </row>
    <row r="340" spans="1:6" x14ac:dyDescent="0.25">
      <c r="A340" s="217" t="str">
        <f>'инновации+добровольчество0,41'!A387</f>
        <v>настольная игра "мафия"</v>
      </c>
      <c r="B340" s="170" t="s">
        <v>88</v>
      </c>
      <c r="C340" s="297"/>
      <c r="D340" s="229">
        <f>Лист1!C92*$A$247</f>
        <v>0.31</v>
      </c>
      <c r="E340" s="489">
        <f>Лист1!D92</f>
        <v>2800</v>
      </c>
      <c r="F340" s="247">
        <f t="shared" si="15"/>
        <v>868</v>
      </c>
    </row>
    <row r="341" spans="1:6" x14ac:dyDescent="0.25">
      <c r="A341" s="217" t="str">
        <f>'инновации+добровольчество0,41'!A388</f>
        <v>мыло жидкое</v>
      </c>
      <c r="B341" s="170" t="s">
        <v>88</v>
      </c>
      <c r="C341" s="297"/>
      <c r="D341" s="229">
        <f>Лист1!C93*$A$247</f>
        <v>0.92999999999999994</v>
      </c>
      <c r="E341" s="489">
        <f>Лист1!D93</f>
        <v>400</v>
      </c>
      <c r="F341" s="247">
        <f t="shared" si="15"/>
        <v>372</v>
      </c>
    </row>
    <row r="342" spans="1:6" x14ac:dyDescent="0.25">
      <c r="A342" s="217" t="str">
        <f>'инновации+добровольчество0,41'!A389</f>
        <v>насадка на швабру</v>
      </c>
      <c r="B342" s="170" t="s">
        <v>88</v>
      </c>
      <c r="C342" s="297"/>
      <c r="D342" s="229">
        <f>Лист1!C94*$A$247</f>
        <v>3.1</v>
      </c>
      <c r="E342" s="489">
        <f>Лист1!D94</f>
        <v>100</v>
      </c>
      <c r="F342" s="247">
        <f t="shared" si="15"/>
        <v>310</v>
      </c>
    </row>
    <row r="343" spans="1:6" x14ac:dyDescent="0.25">
      <c r="A343" s="217" t="str">
        <f>'инновации+добровольчество0,41'!A390</f>
        <v>ведро пластик</v>
      </c>
      <c r="B343" s="170" t="s">
        <v>88</v>
      </c>
      <c r="C343" s="297"/>
      <c r="D343" s="229">
        <f>Лист1!C95*$A$247</f>
        <v>0.62</v>
      </c>
      <c r="E343" s="489">
        <f>Лист1!D95</f>
        <v>280</v>
      </c>
      <c r="F343" s="247">
        <f t="shared" si="15"/>
        <v>173.6</v>
      </c>
    </row>
    <row r="344" spans="1:6" x14ac:dyDescent="0.25">
      <c r="A344" s="217" t="str">
        <f>'инновации+добровольчество0,41'!A391</f>
        <v>туал бумага</v>
      </c>
      <c r="B344" s="170" t="s">
        <v>88</v>
      </c>
      <c r="C344" s="297"/>
      <c r="D344" s="229">
        <f>Лист1!C96*$A$247</f>
        <v>15.5</v>
      </c>
      <c r="E344" s="489">
        <f>Лист1!D96</f>
        <v>20</v>
      </c>
      <c r="F344" s="247">
        <f t="shared" si="15"/>
        <v>310</v>
      </c>
    </row>
    <row r="345" spans="1:6" x14ac:dyDescent="0.25">
      <c r="A345" s="217" t="str">
        <f>'инновации+добровольчество0,41'!A392</f>
        <v>кнопки силовые</v>
      </c>
      <c r="B345" s="170" t="s">
        <v>88</v>
      </c>
      <c r="C345" s="297"/>
      <c r="D345" s="229">
        <f>Лист1!C97*$A$247</f>
        <v>24.8</v>
      </c>
      <c r="E345" s="489">
        <f>Лист1!D97</f>
        <v>5</v>
      </c>
      <c r="F345" s="247">
        <f t="shared" si="15"/>
        <v>124</v>
      </c>
    </row>
    <row r="346" spans="1:6" x14ac:dyDescent="0.25">
      <c r="A346" s="217" t="str">
        <f>'инновации+добровольчество0,41'!A393</f>
        <v>канц нож</v>
      </c>
      <c r="B346" s="170" t="s">
        <v>88</v>
      </c>
      <c r="C346" s="297"/>
      <c r="D346" s="229">
        <f>Лист1!C98*$A$247</f>
        <v>3.1</v>
      </c>
      <c r="E346" s="489">
        <f>Лист1!D98</f>
        <v>120</v>
      </c>
      <c r="F346" s="247">
        <f t="shared" si="15"/>
        <v>372</v>
      </c>
    </row>
    <row r="347" spans="1:6" x14ac:dyDescent="0.25">
      <c r="A347" s="217" t="str">
        <f>'инновации+добровольчество0,41'!A394</f>
        <v>нож для хобби</v>
      </c>
      <c r="B347" s="170" t="s">
        <v>88</v>
      </c>
      <c r="C347" s="297"/>
      <c r="D347" s="229">
        <f>Лист1!C99*$A$247</f>
        <v>1.55</v>
      </c>
      <c r="E347" s="489">
        <f>Лист1!D99</f>
        <v>260</v>
      </c>
      <c r="F347" s="247">
        <f t="shared" si="15"/>
        <v>403</v>
      </c>
    </row>
    <row r="348" spans="1:6" x14ac:dyDescent="0.25">
      <c r="A348" s="217" t="str">
        <f>'инновации+добровольчество0,41'!A395</f>
        <v>магниты для доски (уп 9 шт)</v>
      </c>
      <c r="B348" s="170" t="s">
        <v>88</v>
      </c>
      <c r="C348" s="297"/>
      <c r="D348" s="229">
        <f>Лист1!C100*$A$247</f>
        <v>1.55</v>
      </c>
      <c r="E348" s="489">
        <f>Лист1!D100</f>
        <v>300</v>
      </c>
      <c r="F348" s="247">
        <f t="shared" si="15"/>
        <v>465</v>
      </c>
    </row>
    <row r="349" spans="1:6" x14ac:dyDescent="0.25">
      <c r="A349" s="217" t="str">
        <f>'инновации+добровольчество0,41'!A396</f>
        <v>ежедневник</v>
      </c>
      <c r="B349" s="170" t="s">
        <v>88</v>
      </c>
      <c r="C349" s="297"/>
      <c r="D349" s="229">
        <f>Лист1!C101*$A$247</f>
        <v>1.55</v>
      </c>
      <c r="E349" s="489">
        <f>Лист1!D101</f>
        <v>650</v>
      </c>
      <c r="F349" s="247">
        <f t="shared" si="15"/>
        <v>1007.5</v>
      </c>
    </row>
    <row r="350" spans="1:6" x14ac:dyDescent="0.25">
      <c r="A350" s="217" t="str">
        <f>'инновации+добровольчество0,41'!A397</f>
        <v>ср-во для стекол</v>
      </c>
      <c r="B350" s="170" t="s">
        <v>88</v>
      </c>
      <c r="C350" s="297"/>
      <c r="D350" s="229">
        <f>Лист1!C102*$A$247</f>
        <v>0.62</v>
      </c>
      <c r="E350" s="489">
        <f>Лист1!D102</f>
        <v>240</v>
      </c>
      <c r="F350" s="247">
        <f t="shared" si="15"/>
        <v>148.80000000000001</v>
      </c>
    </row>
    <row r="351" spans="1:6" x14ac:dyDescent="0.25">
      <c r="A351" s="217" t="str">
        <f>'инновации+добровольчество0,41'!A398</f>
        <v>пемолюкс</v>
      </c>
      <c r="B351" s="170" t="s">
        <v>88</v>
      </c>
      <c r="C351" s="297"/>
      <c r="D351" s="229">
        <f>Лист1!C103*$A$247</f>
        <v>3.1</v>
      </c>
      <c r="E351" s="489">
        <f>Лист1!D103</f>
        <v>60</v>
      </c>
      <c r="F351" s="247">
        <f t="shared" si="15"/>
        <v>186</v>
      </c>
    </row>
    <row r="352" spans="1:6" x14ac:dyDescent="0.25">
      <c r="A352" s="217" t="str">
        <f>'инновации+добровольчество0,41'!A399</f>
        <v>доместос</v>
      </c>
      <c r="B352" s="170" t="s">
        <v>88</v>
      </c>
      <c r="C352" s="297"/>
      <c r="D352" s="229">
        <f>Лист1!C104*$A$247</f>
        <v>1.24</v>
      </c>
      <c r="E352" s="489">
        <f>Лист1!D104</f>
        <v>95</v>
      </c>
      <c r="F352" s="247">
        <f t="shared" si="15"/>
        <v>117.8</v>
      </c>
    </row>
    <row r="353" spans="1:6" x14ac:dyDescent="0.25">
      <c r="A353" s="217" t="str">
        <f>'инновации+добровольчество0,41'!A400</f>
        <v>маркер</v>
      </c>
      <c r="B353" s="170" t="s">
        <v>88</v>
      </c>
      <c r="C353" s="297"/>
      <c r="D353" s="229">
        <f>Лист1!C105*$A$247</f>
        <v>9.3000000000000007</v>
      </c>
      <c r="E353" s="489">
        <f>Лист1!D105</f>
        <v>50</v>
      </c>
      <c r="F353" s="247">
        <f t="shared" ref="F353:F407" si="16">D353*E353</f>
        <v>465.00000000000006</v>
      </c>
    </row>
    <row r="354" spans="1:6" x14ac:dyDescent="0.25">
      <c r="A354" s="217" t="str">
        <f>'инновации+добровольчество0,41'!A401</f>
        <v>тал блок освеж</v>
      </c>
      <c r="B354" s="170" t="s">
        <v>88</v>
      </c>
      <c r="C354" s="297"/>
      <c r="D354" s="229">
        <f>Лист1!C106*$A$247</f>
        <v>3.1</v>
      </c>
      <c r="E354" s="489">
        <f>Лист1!D106</f>
        <v>145</v>
      </c>
      <c r="F354" s="247">
        <f t="shared" si="16"/>
        <v>449.5</v>
      </c>
    </row>
    <row r="355" spans="1:6" x14ac:dyDescent="0.25">
      <c r="A355" s="217" t="str">
        <f>'инновации+добровольчество0,41'!A402</f>
        <v>футболка-поло белая с логотипом, мужская</v>
      </c>
      <c r="B355" s="170" t="s">
        <v>88</v>
      </c>
      <c r="C355" s="297"/>
      <c r="D355" s="229">
        <f>Лист1!C107*$A$247</f>
        <v>1.24</v>
      </c>
      <c r="E355" s="489">
        <f>Лист1!D107</f>
        <v>1050</v>
      </c>
      <c r="F355" s="247">
        <f t="shared" si="16"/>
        <v>1302</v>
      </c>
    </row>
    <row r="356" spans="1:6" x14ac:dyDescent="0.25">
      <c r="A356" s="217" t="str">
        <f>'инновации+добровольчество0,41'!A403</f>
        <v>футболка-поло белая с логотипом, женская</v>
      </c>
      <c r="B356" s="170" t="s">
        <v>88</v>
      </c>
      <c r="C356" s="297"/>
      <c r="D356" s="229">
        <f>Лист1!C108*$A$247</f>
        <v>2.79</v>
      </c>
      <c r="E356" s="489">
        <f>Лист1!D108</f>
        <v>950</v>
      </c>
      <c r="F356" s="247">
        <f t="shared" si="16"/>
        <v>2650.5</v>
      </c>
    </row>
    <row r="357" spans="1:6" x14ac:dyDescent="0.25">
      <c r="A357" s="217" t="str">
        <f>'инновации+добровольчество0,41'!A404</f>
        <v>радиатор медный</v>
      </c>
      <c r="B357" s="170" t="s">
        <v>88</v>
      </c>
      <c r="C357" s="297"/>
      <c r="D357" s="229">
        <f>Лист1!C109*$A$247</f>
        <v>0.31</v>
      </c>
      <c r="E357" s="489">
        <f>Лист1!D109</f>
        <v>15960</v>
      </c>
      <c r="F357" s="247">
        <f t="shared" si="16"/>
        <v>4947.6000000000004</v>
      </c>
    </row>
    <row r="358" spans="1:6" x14ac:dyDescent="0.25">
      <c r="A358" s="217" t="str">
        <f>'инновации+добровольчество0,41'!A405</f>
        <v>гидротолкатель клапана</v>
      </c>
      <c r="B358" s="170" t="s">
        <v>88</v>
      </c>
      <c r="C358" s="297"/>
      <c r="D358" s="229">
        <f>Лист1!C110*$A$247</f>
        <v>0.62</v>
      </c>
      <c r="E358" s="489">
        <f>Лист1!D110</f>
        <v>2300</v>
      </c>
      <c r="F358" s="247">
        <f t="shared" si="16"/>
        <v>1426</v>
      </c>
    </row>
    <row r="359" spans="1:6" x14ac:dyDescent="0.25">
      <c r="A359" s="217" t="str">
        <f>'инновации+добровольчество0,41'!A406</f>
        <v>маслосъемные колпачки (16 шт)</v>
      </c>
      <c r="B359" s="170" t="s">
        <v>88</v>
      </c>
      <c r="C359" s="297"/>
      <c r="D359" s="229">
        <f>Лист1!C111*$A$247</f>
        <v>0.31</v>
      </c>
      <c r="E359" s="489">
        <f>Лист1!D111</f>
        <v>649</v>
      </c>
      <c r="F359" s="247">
        <f t="shared" si="16"/>
        <v>201.19</v>
      </c>
    </row>
    <row r="360" spans="1:6" x14ac:dyDescent="0.25">
      <c r="A360" s="217" t="str">
        <f>'инновации+добровольчество0,41'!A407</f>
        <v>к-т ГРМ (полный)</v>
      </c>
      <c r="B360" s="170" t="s">
        <v>88</v>
      </c>
      <c r="C360" s="297"/>
      <c r="D360" s="229">
        <f>Лист1!C112*$A$247</f>
        <v>0.31</v>
      </c>
      <c r="E360" s="489">
        <f>Лист1!D112</f>
        <v>6242</v>
      </c>
      <c r="F360" s="247">
        <f t="shared" si="16"/>
        <v>1935.02</v>
      </c>
    </row>
    <row r="361" spans="1:6" x14ac:dyDescent="0.25">
      <c r="A361" s="217" t="str">
        <f>'инновации+добровольчество0,41'!A408</f>
        <v>фланец упорный распредвала</v>
      </c>
      <c r="B361" s="170" t="s">
        <v>88</v>
      </c>
      <c r="C361" s="297"/>
      <c r="D361" s="229">
        <f>Лист1!C113*$A$247</f>
        <v>0.62</v>
      </c>
      <c r="E361" s="489">
        <f>Лист1!D113</f>
        <v>27</v>
      </c>
      <c r="F361" s="247">
        <f t="shared" si="16"/>
        <v>16.739999999999998</v>
      </c>
    </row>
    <row r="362" spans="1:6" x14ac:dyDescent="0.25">
      <c r="A362" s="217" t="str">
        <f>'инновации+добровольчество0,41'!A409</f>
        <v>гидронатяжитель цепи</v>
      </c>
      <c r="B362" s="170" t="s">
        <v>88</v>
      </c>
      <c r="C362" s="297"/>
      <c r="D362" s="229">
        <f>Лист1!C114*$A$247</f>
        <v>0.62</v>
      </c>
      <c r="E362" s="489">
        <f>Лист1!D114</f>
        <v>226</v>
      </c>
      <c r="F362" s="247">
        <f t="shared" si="16"/>
        <v>140.12</v>
      </c>
    </row>
    <row r="363" spans="1:6" x14ac:dyDescent="0.25">
      <c r="A363" s="217" t="str">
        <f>'инновации+добровольчество0,41'!A410</f>
        <v>прокладка головки блока</v>
      </c>
      <c r="B363" s="170" t="s">
        <v>88</v>
      </c>
      <c r="C363" s="297"/>
      <c r="D363" s="229">
        <f>Лист1!C115*$A$247</f>
        <v>0.31</v>
      </c>
      <c r="E363" s="489">
        <f>Лист1!D115</f>
        <v>1050</v>
      </c>
      <c r="F363" s="247">
        <f t="shared" si="16"/>
        <v>325.5</v>
      </c>
    </row>
    <row r="364" spans="1:6" x14ac:dyDescent="0.25">
      <c r="A364" s="217" t="str">
        <f>'инновации+добровольчество0,41'!A411</f>
        <v>к-т прокладок на дв.4091</v>
      </c>
      <c r="B364" s="170" t="s">
        <v>88</v>
      </c>
      <c r="C364" s="297"/>
      <c r="D364" s="229">
        <f>Лист1!C116*$A$247</f>
        <v>0.31</v>
      </c>
      <c r="E364" s="489">
        <f>Лист1!D116</f>
        <v>1037</v>
      </c>
      <c r="F364" s="247">
        <f t="shared" si="16"/>
        <v>321.46999999999997</v>
      </c>
    </row>
    <row r="365" spans="1:6" x14ac:dyDescent="0.25">
      <c r="A365" s="217" t="str">
        <f>'инновации+добровольчество0,41'!A412</f>
        <v>dextron iv</v>
      </c>
      <c r="B365" s="170" t="s">
        <v>88</v>
      </c>
      <c r="C365" s="297"/>
      <c r="D365" s="229">
        <f>Лист1!C117*$A$247</f>
        <v>0.31</v>
      </c>
      <c r="E365" s="489">
        <f>Лист1!D117</f>
        <v>725</v>
      </c>
      <c r="F365" s="247">
        <f t="shared" si="16"/>
        <v>224.75</v>
      </c>
    </row>
    <row r="366" spans="1:6" x14ac:dyDescent="0.25">
      <c r="A366" s="217" t="str">
        <f>'инновации+добровольчество0,41'!A413</f>
        <v>смазка (шрус)</v>
      </c>
      <c r="B366" s="170" t="s">
        <v>88</v>
      </c>
      <c r="C366" s="297"/>
      <c r="D366" s="229">
        <f>Лист1!C118*$A$247</f>
        <v>1.55</v>
      </c>
      <c r="E366" s="489">
        <f>Лист1!D118</f>
        <v>280</v>
      </c>
      <c r="F366" s="247">
        <f t="shared" si="16"/>
        <v>434</v>
      </c>
    </row>
    <row r="367" spans="1:6" x14ac:dyDescent="0.25">
      <c r="A367" s="217" t="str">
        <f>'инновации+добровольчество0,41'!A414</f>
        <v>смазка литол-24</v>
      </c>
      <c r="B367" s="170" t="s">
        <v>88</v>
      </c>
      <c r="C367" s="297"/>
      <c r="D367" s="229">
        <f>Лист1!C119*$A$247</f>
        <v>1.24</v>
      </c>
      <c r="E367" s="489">
        <f>Лист1!D119</f>
        <v>145</v>
      </c>
      <c r="F367" s="247">
        <f t="shared" si="16"/>
        <v>179.8</v>
      </c>
    </row>
    <row r="368" spans="1:6" x14ac:dyDescent="0.25">
      <c r="A368" s="217" t="str">
        <f>'инновации+добровольчество0,41'!A415</f>
        <v>тормозная жидкость (0,910 кг)</v>
      </c>
      <c r="B368" s="170" t="s">
        <v>88</v>
      </c>
      <c r="C368" s="297"/>
      <c r="D368" s="229">
        <f>Лист1!C120*$A$247</f>
        <v>0.62</v>
      </c>
      <c r="E368" s="489">
        <f>Лист1!D120</f>
        <v>250</v>
      </c>
      <c r="F368" s="247">
        <f t="shared" si="16"/>
        <v>155</v>
      </c>
    </row>
    <row r="369" spans="1:6" x14ac:dyDescent="0.25">
      <c r="A369" s="217" t="str">
        <f>'инновации+добровольчество0,41'!A416</f>
        <v>шайба, гайка,сверло</v>
      </c>
      <c r="B369" s="170" t="s">
        <v>88</v>
      </c>
      <c r="C369" s="297"/>
      <c r="D369" s="229">
        <f>Лист1!C121*$A$247</f>
        <v>0.31</v>
      </c>
      <c r="E369" s="489">
        <f>Лист1!D121</f>
        <v>180</v>
      </c>
      <c r="F369" s="247">
        <f t="shared" si="16"/>
        <v>55.8</v>
      </c>
    </row>
    <row r="370" spans="1:6" x14ac:dyDescent="0.25">
      <c r="A370" s="217" t="str">
        <f>'инновации+добровольчество0,41'!A417</f>
        <v>саморез</v>
      </c>
      <c r="B370" s="170" t="s">
        <v>88</v>
      </c>
      <c r="C370" s="297"/>
      <c r="D370" s="229">
        <f>Лист1!C122*$A$247</f>
        <v>9.3000000000000007</v>
      </c>
      <c r="E370" s="489">
        <f>Лист1!D122</f>
        <v>10</v>
      </c>
      <c r="F370" s="247">
        <f t="shared" si="16"/>
        <v>93</v>
      </c>
    </row>
    <row r="371" spans="1:6" x14ac:dyDescent="0.25">
      <c r="A371" s="217" t="str">
        <f>'инновации+добровольчество0,41'!A418</f>
        <v>брелок</v>
      </c>
      <c r="B371" s="170" t="s">
        <v>88</v>
      </c>
      <c r="C371" s="297"/>
      <c r="D371" s="229">
        <f>Лист1!C123*$A$247</f>
        <v>6.2</v>
      </c>
      <c r="E371" s="489">
        <f>Лист1!D123</f>
        <v>20</v>
      </c>
      <c r="F371" s="247">
        <f t="shared" si="16"/>
        <v>124</v>
      </c>
    </row>
    <row r="372" spans="1:6" ht="30" x14ac:dyDescent="0.25">
      <c r="A372" s="217" t="str">
        <f>'инновации+добровольчество0,41'!A419</f>
        <v>Тарелка опорная ЗУБР "МАСТЕР" пластиковая для УШМ под круг на липучке, d 125 мм, М14</v>
      </c>
      <c r="B372" s="170" t="s">
        <v>88</v>
      </c>
      <c r="C372" s="297"/>
      <c r="D372" s="229">
        <f>Лист1!C124*$A$247</f>
        <v>0.62</v>
      </c>
      <c r="E372" s="489">
        <f>Лист1!D124</f>
        <v>225</v>
      </c>
      <c r="F372" s="247">
        <f t="shared" si="16"/>
        <v>139.5</v>
      </c>
    </row>
    <row r="373" spans="1:6" ht="30" x14ac:dyDescent="0.25">
      <c r="A373" s="217" t="str">
        <f>'инновации+добровольчество0,41'!A420</f>
        <v>Круг шлифовальный ЗУБР "МАСТЕР"  универс., из абразивной бумаги на велкро основе, б/отверстий, Р320</v>
      </c>
      <c r="B373" s="170" t="s">
        <v>88</v>
      </c>
      <c r="C373" s="297"/>
      <c r="D373" s="229">
        <f>Лист1!C125*$A$247</f>
        <v>0.62</v>
      </c>
      <c r="E373" s="489">
        <f>Лист1!D125</f>
        <v>110</v>
      </c>
      <c r="F373" s="247">
        <f t="shared" si="16"/>
        <v>68.2</v>
      </c>
    </row>
    <row r="374" spans="1:6" ht="30" x14ac:dyDescent="0.25">
      <c r="A374" s="217" t="str">
        <f>'инновации+добровольчество0,41'!A421</f>
        <v>Круг шлифовальный ЗУБР "МАСТЕР"  универс., из абразивной бумаги на велкро основе, б/отверстий, Р180</v>
      </c>
      <c r="B374" s="170" t="s">
        <v>88</v>
      </c>
      <c r="C374" s="297"/>
      <c r="D374" s="229">
        <f>Лист1!C126*$A$247</f>
        <v>0.62</v>
      </c>
      <c r="E374" s="489">
        <f>Лист1!D126</f>
        <v>110</v>
      </c>
      <c r="F374" s="247">
        <f t="shared" si="16"/>
        <v>68.2</v>
      </c>
    </row>
    <row r="375" spans="1:6" x14ac:dyDescent="0.25">
      <c r="A375" s="217" t="str">
        <f>'инновации+добровольчество0,41'!A422</f>
        <v>Аптечка нового образца "Мицар" 17,5x15x7см ПЛАСТИК</v>
      </c>
      <c r="B375" s="170" t="s">
        <v>88</v>
      </c>
      <c r="C375" s="297"/>
      <c r="D375" s="229">
        <f>Лист1!C127*$A$247</f>
        <v>0.62</v>
      </c>
      <c r="E375" s="489">
        <f>Лист1!D127</f>
        <v>260</v>
      </c>
      <c r="F375" s="247">
        <f t="shared" si="16"/>
        <v>161.19999999999999</v>
      </c>
    </row>
    <row r="376" spans="1:6" x14ac:dyDescent="0.25">
      <c r="A376" s="217" t="str">
        <f>'инновации+добровольчество0,41'!A423</f>
        <v>Саморез по гипсокартону, дереву, ДСП черный фосфат 3,5х45 (2000шт.)</v>
      </c>
      <c r="B376" s="170" t="s">
        <v>88</v>
      </c>
      <c r="C376" s="297"/>
      <c r="D376" s="229">
        <f>Лист1!C128*$A$247</f>
        <v>279</v>
      </c>
      <c r="E376" s="489">
        <f>Лист1!D128</f>
        <v>1</v>
      </c>
      <c r="F376" s="247">
        <f t="shared" si="16"/>
        <v>279</v>
      </c>
    </row>
    <row r="377" spans="1:6" x14ac:dyDescent="0.25">
      <c r="A377" s="217" t="str">
        <f>'инновации+добровольчество0,41'!A424</f>
        <v>Саморез по гипсокартону, дереву, ДСП черный фосфат 4,8х102 (400шт.)</v>
      </c>
      <c r="B377" s="170" t="s">
        <v>88</v>
      </c>
      <c r="C377" s="297"/>
      <c r="D377" s="229">
        <f>Лист1!C129*$A$247</f>
        <v>71.3</v>
      </c>
      <c r="E377" s="489">
        <f>Лист1!D129</f>
        <v>4</v>
      </c>
      <c r="F377" s="247">
        <f t="shared" si="16"/>
        <v>285.2</v>
      </c>
    </row>
    <row r="378" spans="1:6" x14ac:dyDescent="0.25">
      <c r="A378" s="217" t="str">
        <f>'инновации+добровольчество0,41'!A425</f>
        <v>Уголок крепежный универсальный цинк 100*100*60*2,0мм /50/</v>
      </c>
      <c r="B378" s="170" t="s">
        <v>88</v>
      </c>
      <c r="C378" s="297"/>
      <c r="D378" s="229">
        <f>Лист1!C130*$A$247</f>
        <v>2.48</v>
      </c>
      <c r="E378" s="489">
        <f>Лист1!D130</f>
        <v>35</v>
      </c>
      <c r="F378" s="247">
        <f t="shared" si="16"/>
        <v>86.8</v>
      </c>
    </row>
    <row r="379" spans="1:6" x14ac:dyDescent="0.25">
      <c r="A379" s="217" t="str">
        <f>'инновации+добровольчество0,41'!A426</f>
        <v>Уголок крепежный универсальный цинк 80*80*40*2,0мм /100/</v>
      </c>
      <c r="B379" s="170" t="s">
        <v>88</v>
      </c>
      <c r="C379" s="297"/>
      <c r="D379" s="229">
        <f>Лист1!C131*$A$247</f>
        <v>4.34</v>
      </c>
      <c r="E379" s="489">
        <f>Лист1!D131</f>
        <v>20</v>
      </c>
      <c r="F379" s="247">
        <f t="shared" si="16"/>
        <v>86.8</v>
      </c>
    </row>
    <row r="380" spans="1:6" x14ac:dyDescent="0.25">
      <c r="A380" s="217" t="str">
        <f>'инновации+добровольчество0,41'!A427</f>
        <v>Уголок крепежный универсальный цинк 50*50*60*2,0мм /100/</v>
      </c>
      <c r="B380" s="170" t="s">
        <v>88</v>
      </c>
      <c r="C380" s="297"/>
      <c r="D380" s="229">
        <f>Лист1!C132*$A$247</f>
        <v>6.2</v>
      </c>
      <c r="E380" s="489">
        <f>Лист1!D132</f>
        <v>20</v>
      </c>
      <c r="F380" s="247">
        <f t="shared" si="16"/>
        <v>124</v>
      </c>
    </row>
    <row r="381" spans="1:6" x14ac:dyDescent="0.25">
      <c r="A381" s="217" t="str">
        <f>'инновации+добровольчество0,41'!A428</f>
        <v>Пластина крепежная универсальная цинк 200*60*2,0мм /50/</v>
      </c>
      <c r="B381" s="170" t="s">
        <v>88</v>
      </c>
      <c r="C381" s="297"/>
      <c r="D381" s="229">
        <f>Лист1!C133*$A$247</f>
        <v>3.1</v>
      </c>
      <c r="E381" s="489">
        <f>Лист1!D133</f>
        <v>35</v>
      </c>
      <c r="F381" s="247">
        <f t="shared" si="16"/>
        <v>108.5</v>
      </c>
    </row>
    <row r="382" spans="1:6" x14ac:dyDescent="0.25">
      <c r="A382" s="217" t="str">
        <f>'инновации+добровольчество0,41'!A429</f>
        <v>Сверло по металлу 6,0мм ТОМСК 10902В</v>
      </c>
      <c r="B382" s="170" t="s">
        <v>88</v>
      </c>
      <c r="C382" s="297"/>
      <c r="D382" s="229">
        <f>Лист1!C134*$A$247</f>
        <v>0.62</v>
      </c>
      <c r="E382" s="489">
        <f>Лист1!D134</f>
        <v>21</v>
      </c>
      <c r="F382" s="247">
        <f t="shared" si="16"/>
        <v>13.02</v>
      </c>
    </row>
    <row r="383" spans="1:6" x14ac:dyDescent="0.25">
      <c r="A383" s="217" t="str">
        <f>'инновации+добровольчество0,41'!A430</f>
        <v>Биты  ХК RSG 10 шт, РН2 х 70 мм, сталь S2 /120/</v>
      </c>
      <c r="B383" s="170" t="s">
        <v>88</v>
      </c>
      <c r="C383" s="297"/>
      <c r="D383" s="229">
        <f>Лист1!C135*$A$247</f>
        <v>1.24</v>
      </c>
      <c r="E383" s="489">
        <f>Лист1!D135</f>
        <v>21</v>
      </c>
      <c r="F383" s="247">
        <f t="shared" si="16"/>
        <v>26.04</v>
      </c>
    </row>
    <row r="384" spans="1:6" x14ac:dyDescent="0.25">
      <c r="A384" s="217" t="str">
        <f>'инновации+добровольчество0,41'!A431</f>
        <v>Хомут  нейлоновый 2,5х200мм 100шт белый /10/100/</v>
      </c>
      <c r="B384" s="170" t="s">
        <v>88</v>
      </c>
      <c r="C384" s="297"/>
      <c r="D384" s="229">
        <f>Лист1!C136*$A$247</f>
        <v>0.31</v>
      </c>
      <c r="E384" s="489">
        <f>Лист1!D136</f>
        <v>65</v>
      </c>
      <c r="F384" s="247">
        <f t="shared" si="16"/>
        <v>20.149999999999999</v>
      </c>
    </row>
    <row r="385" spans="1:6" x14ac:dyDescent="0.25">
      <c r="A385" s="217" t="str">
        <f>'инновации+добровольчество0,41'!A432</f>
        <v>Хомут  нейлоновый 3,6х300мм 100шт белый /10/150/</v>
      </c>
      <c r="B385" s="170" t="s">
        <v>88</v>
      </c>
      <c r="C385" s="297"/>
      <c r="D385" s="229">
        <f>Лист1!C137*$A$247</f>
        <v>0.31</v>
      </c>
      <c r="E385" s="489">
        <f>Лист1!D137</f>
        <v>150</v>
      </c>
      <c r="F385" s="247">
        <f t="shared" si="16"/>
        <v>46.5</v>
      </c>
    </row>
    <row r="386" spans="1:6" x14ac:dyDescent="0.25">
      <c r="A386" s="217" t="str">
        <f>'инновации+добровольчество0,41'!A433</f>
        <v>Набор АНИ с бок подв 1/2 пл кнопка белая  WС8010 /20/</v>
      </c>
      <c r="B386" s="170" t="s">
        <v>88</v>
      </c>
      <c r="C386" s="297"/>
      <c r="D386" s="229">
        <f>Лист1!C138*$A$247</f>
        <v>0.31</v>
      </c>
      <c r="E386" s="489">
        <f>Лист1!D138</f>
        <v>580</v>
      </c>
      <c r="F386" s="247">
        <f t="shared" si="16"/>
        <v>179.8</v>
      </c>
    </row>
    <row r="387" spans="1:6" x14ac:dyDescent="0.25">
      <c r="A387" s="217" t="str">
        <f>'инновации+добровольчество0,41'!A434</f>
        <v>Набор с бок подв АНИ шток пластик эконом  WС4050 /20/</v>
      </c>
      <c r="B387" s="170" t="s">
        <v>88</v>
      </c>
      <c r="C387" s="297"/>
      <c r="D387" s="229">
        <f>Лист1!C139*$A$247</f>
        <v>0.31</v>
      </c>
      <c r="E387" s="489">
        <f>Лист1!D139</f>
        <v>300</v>
      </c>
      <c r="F387" s="247">
        <f t="shared" si="16"/>
        <v>93</v>
      </c>
    </row>
    <row r="388" spans="1:6" x14ac:dyDescent="0.25">
      <c r="A388" s="217" t="str">
        <f>'инновации+добровольчество0,41'!A435</f>
        <v>Тройник PPR соединительный 32 Дигор /15/60/</v>
      </c>
      <c r="B388" s="170" t="s">
        <v>88</v>
      </c>
      <c r="C388" s="297"/>
      <c r="D388" s="229">
        <f>Лист1!C140*$A$247</f>
        <v>2.48</v>
      </c>
      <c r="E388" s="489">
        <f>Лист1!D140</f>
        <v>23</v>
      </c>
      <c r="F388" s="247">
        <f t="shared" si="16"/>
        <v>57.04</v>
      </c>
    </row>
    <row r="389" spans="1:6" ht="30" x14ac:dyDescent="0.25">
      <c r="A389" s="217" t="str">
        <f>'инновации+добровольчество0,41'!A436</f>
        <v>Труба PPR Ду 25  PN 20, SDR 7,4 (4 м) армир. стекловолокном г.Красноярск  /упак. 25шт./</v>
      </c>
      <c r="B389" s="170" t="s">
        <v>88</v>
      </c>
      <c r="C389" s="297"/>
      <c r="D389" s="229">
        <f>Лист1!C141*$A$247</f>
        <v>0.92999999999999994</v>
      </c>
      <c r="E389" s="489">
        <f>Лист1!D141</f>
        <v>272</v>
      </c>
      <c r="F389" s="247">
        <f t="shared" si="16"/>
        <v>252.95999999999998</v>
      </c>
    </row>
    <row r="390" spans="1:6" x14ac:dyDescent="0.25">
      <c r="A390" s="217" t="str">
        <f>'инновации+добровольчество0,41'!A437</f>
        <v>Труба РР PN25 Д-32*5,4 (1") L-4,0м (стекловолокно) (упак. 15 шт.)</v>
      </c>
      <c r="B390" s="170" t="s">
        <v>88</v>
      </c>
      <c r="C390" s="297"/>
      <c r="D390" s="229">
        <f>Лист1!C142*$A$247</f>
        <v>0.31</v>
      </c>
      <c r="E390" s="489">
        <f>Лист1!D142</f>
        <v>650</v>
      </c>
      <c r="F390" s="247">
        <f t="shared" si="16"/>
        <v>201.5</v>
      </c>
    </row>
    <row r="391" spans="1:6" x14ac:dyDescent="0.25">
      <c r="A391" s="217" t="str">
        <f>'инновации+добровольчество0,41'!A438</f>
        <v>Изоляция для труб холодной воды 42/9мм, 2м /10/</v>
      </c>
      <c r="B391" s="170" t="s">
        <v>88</v>
      </c>
      <c r="C391" s="297"/>
      <c r="D391" s="229">
        <f>Лист1!C143*$A$247</f>
        <v>1.55</v>
      </c>
      <c r="E391" s="489">
        <f>Лист1!D143</f>
        <v>55</v>
      </c>
      <c r="F391" s="247">
        <f t="shared" si="16"/>
        <v>85.25</v>
      </c>
    </row>
    <row r="392" spans="1:6" x14ac:dyDescent="0.25">
      <c r="A392" s="217" t="str">
        <f>'инновации+добровольчество0,41'!A439</f>
        <v>Изодом НПЭ Л 10мм (1,0х25 п.м)</v>
      </c>
      <c r="B392" s="170" t="s">
        <v>88</v>
      </c>
      <c r="C392" s="309"/>
      <c r="D392" s="229">
        <f>Лист1!C144*$A$247</f>
        <v>0.62</v>
      </c>
      <c r="E392" s="489">
        <f>Лист1!D144</f>
        <v>120</v>
      </c>
      <c r="F392" s="247">
        <f t="shared" si="16"/>
        <v>74.400000000000006</v>
      </c>
    </row>
    <row r="393" spans="1:6" x14ac:dyDescent="0.25">
      <c r="A393" s="217" t="str">
        <f>'инновации+добровольчество0,41'!A440</f>
        <v>Лента серпянка сетка строительная самокл. Стелс 45мм.*45м. /63/</v>
      </c>
      <c r="B393" s="170" t="s">
        <v>88</v>
      </c>
      <c r="C393" s="309"/>
      <c r="D393" s="229">
        <f>Лист1!C145*$A$247</f>
        <v>1.55</v>
      </c>
      <c r="E393" s="489">
        <f>Лист1!D145</f>
        <v>69</v>
      </c>
      <c r="F393" s="247">
        <f t="shared" si="16"/>
        <v>106.95</v>
      </c>
    </row>
    <row r="394" spans="1:6" x14ac:dyDescent="0.25">
      <c r="A394" s="217" t="str">
        <f>'инновации+добровольчество0,41'!A441</f>
        <v>Клей Cosmofen СА-12  20гр /флакон прозр.  /20/</v>
      </c>
      <c r="B394" s="170" t="s">
        <v>88</v>
      </c>
      <c r="C394" s="309"/>
      <c r="D394" s="229">
        <f>Лист1!C146*$A$247</f>
        <v>0.31</v>
      </c>
      <c r="E394" s="489">
        <f>Лист1!D146</f>
        <v>180</v>
      </c>
      <c r="F394" s="247">
        <f t="shared" si="16"/>
        <v>55.8</v>
      </c>
    </row>
    <row r="395" spans="1:6" x14ac:dyDescent="0.25">
      <c r="A395" s="217" t="str">
        <f>'инновации+добровольчество0,41'!A442</f>
        <v>Сверло ЗУБР "МАСТЕР" по бетону ударное, 6х150мм</v>
      </c>
      <c r="B395" s="170" t="s">
        <v>88</v>
      </c>
      <c r="C395" s="309"/>
      <c r="D395" s="229">
        <f>Лист1!C147*$A$247</f>
        <v>0.31</v>
      </c>
      <c r="E395" s="489">
        <f>Лист1!D147</f>
        <v>62</v>
      </c>
      <c r="F395" s="247">
        <f t="shared" si="16"/>
        <v>19.22</v>
      </c>
    </row>
    <row r="396" spans="1:6" x14ac:dyDescent="0.25">
      <c r="A396" s="217" t="str">
        <f>'инновации+добровольчество0,41'!A443</f>
        <v>Сверло ЗУБР "СУПЕР-6" по бетону ударное, шестигранный хвостовик, 4x75мм</v>
      </c>
      <c r="B396" s="170" t="s">
        <v>88</v>
      </c>
      <c r="C396" s="309"/>
      <c r="D396" s="229">
        <f>Лист1!C148*$A$247</f>
        <v>0.31</v>
      </c>
      <c r="E396" s="489">
        <f>Лист1!D148</f>
        <v>42</v>
      </c>
      <c r="F396" s="247">
        <f t="shared" si="16"/>
        <v>13.02</v>
      </c>
    </row>
    <row r="397" spans="1:6" x14ac:dyDescent="0.25">
      <c r="A397" s="217" t="str">
        <f>'инновации+добровольчество0,41'!A444</f>
        <v>Профиль потолочный А-3 2,0м в сборе (М) (10)</v>
      </c>
      <c r="B397" s="170" t="s">
        <v>88</v>
      </c>
      <c r="C397" s="309"/>
      <c r="D397" s="229">
        <f>Лист1!C149*$A$247</f>
        <v>0.31</v>
      </c>
      <c r="E397" s="489">
        <f>Лист1!D149</f>
        <v>223</v>
      </c>
      <c r="F397" s="247">
        <f t="shared" si="16"/>
        <v>69.13</v>
      </c>
    </row>
    <row r="398" spans="1:6" x14ac:dyDescent="0.25">
      <c r="A398" s="217" t="str">
        <f>'инновации+добровольчество0,41'!A445</f>
        <v>Клеёнка силиконовая Dekorelle 1,20*20м прозрачная (толщина 0,8мм)</v>
      </c>
      <c r="B398" s="170" t="s">
        <v>88</v>
      </c>
      <c r="C398" s="309"/>
      <c r="D398" s="229">
        <f>Лист1!C150*$A$247</f>
        <v>0.372</v>
      </c>
      <c r="E398" s="489">
        <f>Лист1!D150</f>
        <v>467</v>
      </c>
      <c r="F398" s="247">
        <f t="shared" si="16"/>
        <v>173.72399999999999</v>
      </c>
    </row>
    <row r="399" spans="1:6" x14ac:dyDescent="0.25">
      <c r="A399" s="217" t="str">
        <f>'инновации+добровольчество0,41'!A446</f>
        <v>антифриз УАЗ</v>
      </c>
      <c r="B399" s="170" t="s">
        <v>88</v>
      </c>
      <c r="C399" s="309"/>
      <c r="D399" s="229">
        <f>Лист1!C151*$A$247</f>
        <v>0.62</v>
      </c>
      <c r="E399" s="489">
        <f>Лист1!D151</f>
        <v>630</v>
      </c>
      <c r="F399" s="247">
        <f t="shared" si="16"/>
        <v>390.6</v>
      </c>
    </row>
    <row r="400" spans="1:6" x14ac:dyDescent="0.25">
      <c r="A400" s="217" t="str">
        <f>'инновации+добровольчество0,41'!A447</f>
        <v>ГСМ УАЗ (Масло двигатель)</v>
      </c>
      <c r="B400" s="170" t="s">
        <v>88</v>
      </c>
      <c r="C400" s="309"/>
      <c r="D400" s="229">
        <f>Лист1!C152*$A$247</f>
        <v>2.48</v>
      </c>
      <c r="E400" s="489">
        <f>Лист1!D152</f>
        <v>2963.25</v>
      </c>
      <c r="F400" s="247">
        <f t="shared" si="16"/>
        <v>7348.86</v>
      </c>
    </row>
    <row r="401" spans="1:6" x14ac:dyDescent="0.25">
      <c r="A401" s="217" t="str">
        <f>'инновации+добровольчество0,41'!A448</f>
        <v>ГСМ Бензин</v>
      </c>
      <c r="B401" s="170" t="s">
        <v>88</v>
      </c>
      <c r="C401" s="309"/>
      <c r="D401" s="229">
        <f>Лист1!C153*$A$247</f>
        <v>930</v>
      </c>
      <c r="E401" s="489">
        <f>Лист1!D153</f>
        <v>48.77</v>
      </c>
      <c r="F401" s="247">
        <f t="shared" si="16"/>
        <v>45356.100000000006</v>
      </c>
    </row>
    <row r="402" spans="1:6" x14ac:dyDescent="0.25">
      <c r="A402" s="217" t="str">
        <f>'инновации+добровольчество0,41'!A449</f>
        <v>перчатки нитриловые L</v>
      </c>
      <c r="B402" s="170" t="s">
        <v>88</v>
      </c>
      <c r="C402" s="309"/>
      <c r="D402" s="229">
        <f>Лист1!C154*$A$247</f>
        <v>248</v>
      </c>
      <c r="E402" s="489">
        <f>Лист1!D154</f>
        <v>40</v>
      </c>
      <c r="F402" s="247">
        <f t="shared" si="16"/>
        <v>9920</v>
      </c>
    </row>
    <row r="403" spans="1:6" x14ac:dyDescent="0.25">
      <c r="A403" s="217" t="str">
        <f>'инновации+добровольчество0,41'!A450</f>
        <v>перчатки нитриловые М</v>
      </c>
      <c r="B403" s="170" t="s">
        <v>88</v>
      </c>
      <c r="C403" s="309"/>
      <c r="D403" s="229">
        <f>Лист1!C155*$A$247</f>
        <v>248</v>
      </c>
      <c r="E403" s="489">
        <f>Лист1!D155</f>
        <v>40</v>
      </c>
      <c r="F403" s="247">
        <f t="shared" si="16"/>
        <v>9920</v>
      </c>
    </row>
    <row r="404" spans="1:6" x14ac:dyDescent="0.25">
      <c r="A404" s="217" t="str">
        <f>'инновации+добровольчество0,41'!A451</f>
        <v>маска мед одноразовая</v>
      </c>
      <c r="B404" s="170" t="s">
        <v>88</v>
      </c>
      <c r="C404" s="309"/>
      <c r="D404" s="229">
        <f>Лист1!C156*$A$247</f>
        <v>310</v>
      </c>
      <c r="E404" s="489">
        <f>Лист1!D156</f>
        <v>20</v>
      </c>
      <c r="F404" s="247">
        <f t="shared" si="16"/>
        <v>6200</v>
      </c>
    </row>
    <row r="405" spans="1:6" x14ac:dyDescent="0.25">
      <c r="A405" s="217" t="str">
        <f>'инновации+добровольчество0,41'!A452</f>
        <v>скреппер волокуша для снега</v>
      </c>
      <c r="B405" s="170" t="s">
        <v>88</v>
      </c>
      <c r="C405" s="309"/>
      <c r="D405" s="229">
        <f>Лист1!C157*$A$247</f>
        <v>0.31</v>
      </c>
      <c r="E405" s="489">
        <f>Лист1!D157</f>
        <v>1077.5999999999999</v>
      </c>
      <c r="F405" s="247">
        <f t="shared" si="16"/>
        <v>334.05599999999998</v>
      </c>
    </row>
    <row r="406" spans="1:6" x14ac:dyDescent="0.25">
      <c r="A406" s="217" t="str">
        <f>'инновации+добровольчество0,41'!A453</f>
        <v>мультиДез 1л</v>
      </c>
      <c r="B406" s="170" t="s">
        <v>88</v>
      </c>
      <c r="C406" s="309"/>
      <c r="D406" s="229">
        <f>Лист1!C158*$A$247</f>
        <v>3.1</v>
      </c>
      <c r="E406" s="489">
        <f>Лист1!D158</f>
        <v>1200</v>
      </c>
      <c r="F406" s="247">
        <f t="shared" si="16"/>
        <v>3720</v>
      </c>
    </row>
    <row r="407" spans="1:6" x14ac:dyDescent="0.25">
      <c r="A407" s="217" t="str">
        <f>'инновации+добровольчество0,41'!A454</f>
        <v>Мульти ДезТефлекс 0,5</v>
      </c>
      <c r="B407" s="170" t="s">
        <v>88</v>
      </c>
      <c r="C407" s="287"/>
      <c r="D407" s="229">
        <f>Лист1!C159*$A$247</f>
        <v>1.24</v>
      </c>
      <c r="E407" s="489">
        <f>Лист1!D159</f>
        <v>500</v>
      </c>
      <c r="F407" s="247">
        <f t="shared" si="16"/>
        <v>620</v>
      </c>
    </row>
    <row r="408" spans="1:6" ht="18.75" x14ac:dyDescent="0.25">
      <c r="A408" s="670" t="s">
        <v>31</v>
      </c>
      <c r="B408" s="671"/>
      <c r="C408" s="671"/>
      <c r="D408" s="671"/>
      <c r="E408" s="672"/>
      <c r="F408" s="267">
        <f>SUM(F251:F407)</f>
        <v>166508.75000000006</v>
      </c>
    </row>
    <row r="409" spans="1:6" x14ac:dyDescent="0.25">
      <c r="E409" s="169"/>
    </row>
  </sheetData>
  <mergeCells count="167">
    <mergeCell ref="F37:F38"/>
    <mergeCell ref="B39:C39"/>
    <mergeCell ref="B40:C40"/>
    <mergeCell ref="B41:C41"/>
    <mergeCell ref="E37:E38"/>
    <mergeCell ref="A113:F113"/>
    <mergeCell ref="A115:B116"/>
    <mergeCell ref="D115:D116"/>
    <mergeCell ref="E115:E116"/>
    <mergeCell ref="F115:F116"/>
    <mergeCell ref="A114:G114"/>
    <mergeCell ref="A52:B52"/>
    <mergeCell ref="A53:B53"/>
    <mergeCell ref="A54:B54"/>
    <mergeCell ref="A55:B55"/>
    <mergeCell ref="A56:B56"/>
    <mergeCell ref="A58:F58"/>
    <mergeCell ref="G115:G116"/>
    <mergeCell ref="A43:H43"/>
    <mergeCell ref="A44:A46"/>
    <mergeCell ref="B44:C46"/>
    <mergeCell ref="D44:D46"/>
    <mergeCell ref="I132:I134"/>
    <mergeCell ref="B135:B136"/>
    <mergeCell ref="D135:D136"/>
    <mergeCell ref="E135:E136"/>
    <mergeCell ref="F135:F136"/>
    <mergeCell ref="G135:G136"/>
    <mergeCell ref="I135:I136"/>
    <mergeCell ref="A135:A136"/>
    <mergeCell ref="G132:G134"/>
    <mergeCell ref="A144:A146"/>
    <mergeCell ref="B144:C146"/>
    <mergeCell ref="D144:F144"/>
    <mergeCell ref="D145:D146"/>
    <mergeCell ref="B132:B134"/>
    <mergeCell ref="D132:D134"/>
    <mergeCell ref="E132:F132"/>
    <mergeCell ref="A123:F123"/>
    <mergeCell ref="E145:E146"/>
    <mergeCell ref="F145:F146"/>
    <mergeCell ref="A141:F141"/>
    <mergeCell ref="B128:C128"/>
    <mergeCell ref="B130:C130"/>
    <mergeCell ref="H154:H155"/>
    <mergeCell ref="G154:G155"/>
    <mergeCell ref="F154:F155"/>
    <mergeCell ref="E154:E155"/>
    <mergeCell ref="D154:D155"/>
    <mergeCell ref="G188:G189"/>
    <mergeCell ref="A177:F177"/>
    <mergeCell ref="B156:C156"/>
    <mergeCell ref="A188:B189"/>
    <mergeCell ref="B153:C155"/>
    <mergeCell ref="A153:A155"/>
    <mergeCell ref="F166:F167"/>
    <mergeCell ref="G197:G198"/>
    <mergeCell ref="G208:G209"/>
    <mergeCell ref="A4:E4"/>
    <mergeCell ref="A5:E5"/>
    <mergeCell ref="A6:E6"/>
    <mergeCell ref="G22:G23"/>
    <mergeCell ref="A195:F195"/>
    <mergeCell ref="A197:A198"/>
    <mergeCell ref="B197:B198"/>
    <mergeCell ref="D197:D198"/>
    <mergeCell ref="E197:E198"/>
    <mergeCell ref="F197:F198"/>
    <mergeCell ref="A175:E175"/>
    <mergeCell ref="A185:F185"/>
    <mergeCell ref="D188:D189"/>
    <mergeCell ref="B36:C38"/>
    <mergeCell ref="D36:E36"/>
    <mergeCell ref="D37:D38"/>
    <mergeCell ref="B147:C147"/>
    <mergeCell ref="A164:F164"/>
    <mergeCell ref="A166:A167"/>
    <mergeCell ref="B166:B167"/>
    <mergeCell ref="D166:D167"/>
    <mergeCell ref="E166:E167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B216:B217"/>
    <mergeCell ref="D216:D217"/>
    <mergeCell ref="E216:E217"/>
    <mergeCell ref="F216:F217"/>
    <mergeCell ref="A205:F205"/>
    <mergeCell ref="A206:F206"/>
    <mergeCell ref="A208:A209"/>
    <mergeCell ref="B208:B209"/>
    <mergeCell ref="D208:D209"/>
    <mergeCell ref="E208:E209"/>
    <mergeCell ref="F208:F209"/>
    <mergeCell ref="A214:F214"/>
    <mergeCell ref="A191:B191"/>
    <mergeCell ref="A194:B194"/>
    <mergeCell ref="A408:E408"/>
    <mergeCell ref="B3:G3"/>
    <mergeCell ref="D61:D62"/>
    <mergeCell ref="E61:E62"/>
    <mergeCell ref="A59:F59"/>
    <mergeCell ref="C61:C62"/>
    <mergeCell ref="F61:F62"/>
    <mergeCell ref="A246:F246"/>
    <mergeCell ref="A247:F247"/>
    <mergeCell ref="A248:A249"/>
    <mergeCell ref="B248:B249"/>
    <mergeCell ref="D248:D249"/>
    <mergeCell ref="E248:E249"/>
    <mergeCell ref="F248:F249"/>
    <mergeCell ref="A213:F213"/>
    <mergeCell ref="A190:B190"/>
    <mergeCell ref="A35:H35"/>
    <mergeCell ref="A36:A38"/>
    <mergeCell ref="A192:B192"/>
    <mergeCell ref="A193:B193"/>
    <mergeCell ref="A245:E245"/>
    <mergeCell ref="A216:A217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E44:E46"/>
    <mergeCell ref="F44:F46"/>
    <mergeCell ref="B47:C47"/>
    <mergeCell ref="B49:C49"/>
    <mergeCell ref="B50:C50"/>
    <mergeCell ref="A124:H124"/>
    <mergeCell ref="A125:A127"/>
    <mergeCell ref="B125:C127"/>
    <mergeCell ref="D125:D127"/>
    <mergeCell ref="E125:E127"/>
    <mergeCell ref="F125:F127"/>
    <mergeCell ref="B61:B62"/>
    <mergeCell ref="A117:B117"/>
    <mergeCell ref="A120:B120"/>
    <mergeCell ref="A121:B12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20" max="16383" man="1"/>
    <brk id="20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291"/>
  <sheetViews>
    <sheetView view="pageBreakPreview" topLeftCell="A288" workbookViewId="0">
      <selection sqref="A1:E29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49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30.11.2020 "87-ос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9"/>
    </row>
    <row r="3" spans="1:5" x14ac:dyDescent="0.25">
      <c r="A3" s="650" t="s">
        <v>130</v>
      </c>
      <c r="B3" s="650"/>
      <c r="C3" s="650"/>
      <c r="D3" s="650"/>
      <c r="E3" s="650"/>
    </row>
    <row r="4" spans="1:5" ht="12.6" customHeight="1" x14ac:dyDescent="0.25">
      <c r="A4" s="651" t="s">
        <v>154</v>
      </c>
      <c r="B4" s="651"/>
      <c r="C4" s="651"/>
      <c r="D4" s="651"/>
      <c r="E4" s="651"/>
    </row>
    <row r="5" spans="1:5" ht="45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719" t="s">
        <v>129</v>
      </c>
      <c r="B7" s="720" t="s">
        <v>158</v>
      </c>
      <c r="C7" s="652" t="s">
        <v>136</v>
      </c>
      <c r="D7" s="653"/>
      <c r="E7" s="654"/>
    </row>
    <row r="8" spans="1:5" ht="14.45" customHeight="1" x14ac:dyDescent="0.25">
      <c r="A8" s="719"/>
      <c r="B8" s="720"/>
      <c r="C8" s="655" t="s">
        <v>137</v>
      </c>
      <c r="D8" s="656"/>
      <c r="E8" s="657"/>
    </row>
    <row r="9" spans="1:5" ht="12" customHeight="1" x14ac:dyDescent="0.25">
      <c r="A9" s="719"/>
      <c r="B9" s="720"/>
      <c r="C9" s="109" t="s">
        <v>144</v>
      </c>
      <c r="D9" s="134" t="s">
        <v>138</v>
      </c>
      <c r="E9" s="232">
        <f>'таланты+инициативы0,28'!D25</f>
        <v>1.5680000000000001</v>
      </c>
    </row>
    <row r="10" spans="1:5" ht="12" customHeight="1" x14ac:dyDescent="0.25">
      <c r="A10" s="719"/>
      <c r="B10" s="720"/>
      <c r="C10" s="109" t="s">
        <v>97</v>
      </c>
      <c r="D10" s="135" t="s">
        <v>138</v>
      </c>
      <c r="E10" s="232">
        <f>'таланты+инициативы0,28'!D24</f>
        <v>0.28000000000000003</v>
      </c>
    </row>
    <row r="11" spans="1:5" ht="12" customHeight="1" x14ac:dyDescent="0.25">
      <c r="A11" s="719"/>
      <c r="B11" s="720"/>
      <c r="C11" s="643" t="s">
        <v>148</v>
      </c>
      <c r="D11" s="644"/>
      <c r="E11" s="645"/>
    </row>
    <row r="12" spans="1:5" ht="40.15" customHeight="1" x14ac:dyDescent="0.25">
      <c r="A12" s="719"/>
      <c r="B12" s="720"/>
      <c r="C12" s="121" t="s">
        <v>73</v>
      </c>
      <c r="D12" s="101" t="s">
        <v>39</v>
      </c>
      <c r="E12" s="231">
        <f>'таланты+инициативы0,28'!E48</f>
        <v>0.28000000000000003</v>
      </c>
    </row>
    <row r="13" spans="1:5" ht="24.6" customHeight="1" x14ac:dyDescent="0.25">
      <c r="A13" s="719"/>
      <c r="B13" s="720"/>
      <c r="C13" s="121" t="s">
        <v>83</v>
      </c>
      <c r="D13" s="101" t="s">
        <v>39</v>
      </c>
      <c r="E13" s="231">
        <f>'таланты+инициативы0,28'!E49</f>
        <v>0.28000000000000003</v>
      </c>
    </row>
    <row r="14" spans="1:5" ht="23.45" customHeight="1" x14ac:dyDescent="0.25">
      <c r="A14" s="719"/>
      <c r="B14" s="720"/>
      <c r="C14" s="121" t="s">
        <v>40</v>
      </c>
      <c r="D14" s="101" t="s">
        <v>39</v>
      </c>
      <c r="E14" s="231">
        <f>'таланты+инициативы0,28'!E50</f>
        <v>0.28000000000000003</v>
      </c>
    </row>
    <row r="15" spans="1:5" ht="22.9" customHeight="1" x14ac:dyDescent="0.25">
      <c r="A15" s="719"/>
      <c r="B15" s="720"/>
      <c r="C15" s="646" t="s">
        <v>149</v>
      </c>
      <c r="D15" s="647"/>
      <c r="E15" s="648"/>
    </row>
    <row r="16" spans="1:5" ht="30" hidden="1" customHeight="1" x14ac:dyDescent="0.25">
      <c r="A16" s="719"/>
      <c r="B16" s="720"/>
      <c r="C16" s="130" t="e">
        <f>'таланты+инициативы0,28'!#REF!</f>
        <v>#REF!</v>
      </c>
      <c r="D16" s="95" t="e">
        <f>'таланты+инициативы0,28'!#REF!</f>
        <v>#REF!</v>
      </c>
      <c r="E16" s="99" t="e">
        <f>'таланты+инициативы0,28'!#REF!</f>
        <v>#REF!</v>
      </c>
    </row>
    <row r="17" spans="1:5" ht="12" hidden="1" customHeight="1" x14ac:dyDescent="0.25">
      <c r="A17" s="719"/>
      <c r="B17" s="720"/>
      <c r="C17" s="130" t="e">
        <f>'таланты+инициативы0,28'!#REF!</f>
        <v>#REF!</v>
      </c>
      <c r="D17" s="95" t="e">
        <f>'таланты+инициативы0,28'!#REF!</f>
        <v>#REF!</v>
      </c>
      <c r="E17" s="99" t="e">
        <f>'таланты+инициативы0,28'!#REF!</f>
        <v>#REF!</v>
      </c>
    </row>
    <row r="18" spans="1:5" ht="12" hidden="1" customHeight="1" x14ac:dyDescent="0.25">
      <c r="A18" s="719"/>
      <c r="B18" s="720"/>
      <c r="C18" s="130" t="e">
        <f>'таланты+инициативы0,28'!#REF!</f>
        <v>#REF!</v>
      </c>
      <c r="D18" s="95" t="e">
        <f>'таланты+инициативы0,28'!#REF!</f>
        <v>#REF!</v>
      </c>
      <c r="E18" s="99" t="e">
        <f>'таланты+инициативы0,28'!#REF!</f>
        <v>#REF!</v>
      </c>
    </row>
    <row r="19" spans="1:5" ht="12" hidden="1" customHeight="1" x14ac:dyDescent="0.25">
      <c r="A19" s="719"/>
      <c r="B19" s="720"/>
      <c r="C19" s="130" t="e">
        <f>'таланты+инициативы0,28'!#REF!</f>
        <v>#REF!</v>
      </c>
      <c r="D19" s="95" t="e">
        <f>'таланты+инициативы0,28'!#REF!</f>
        <v>#REF!</v>
      </c>
      <c r="E19" s="99" t="e">
        <f>'таланты+инициативы0,28'!#REF!</f>
        <v>#REF!</v>
      </c>
    </row>
    <row r="20" spans="1:5" ht="12" hidden="1" customHeight="1" x14ac:dyDescent="0.25">
      <c r="A20" s="719"/>
      <c r="B20" s="720"/>
      <c r="C20" s="130" t="e">
        <f>'таланты+инициативы0,28'!#REF!</f>
        <v>#REF!</v>
      </c>
      <c r="D20" s="95" t="e">
        <f>'таланты+инициативы0,28'!#REF!</f>
        <v>#REF!</v>
      </c>
      <c r="E20" s="99" t="e">
        <f>'таланты+инициативы0,28'!#REF!</f>
        <v>#REF!</v>
      </c>
    </row>
    <row r="21" spans="1:5" ht="12" hidden="1" customHeight="1" x14ac:dyDescent="0.25">
      <c r="A21" s="719"/>
      <c r="B21" s="720"/>
      <c r="C21" s="130" t="e">
        <f>'таланты+инициативы0,28'!#REF!</f>
        <v>#REF!</v>
      </c>
      <c r="D21" s="95" t="e">
        <f>'таланты+инициативы0,28'!#REF!</f>
        <v>#REF!</v>
      </c>
      <c r="E21" s="99" t="e">
        <f>'таланты+инициативы0,28'!#REF!</f>
        <v>#REF!</v>
      </c>
    </row>
    <row r="22" spans="1:5" ht="12" hidden="1" customHeight="1" x14ac:dyDescent="0.25">
      <c r="A22" s="719"/>
      <c r="B22" s="720"/>
      <c r="C22" s="130" t="e">
        <f>'таланты+инициативы0,28'!#REF!</f>
        <v>#REF!</v>
      </c>
      <c r="D22" s="95" t="e">
        <f>'таланты+инициативы0,28'!#REF!</f>
        <v>#REF!</v>
      </c>
      <c r="E22" s="99" t="e">
        <f>'таланты+инициативы0,28'!#REF!</f>
        <v>#REF!</v>
      </c>
    </row>
    <row r="23" spans="1:5" ht="12" hidden="1" customHeight="1" x14ac:dyDescent="0.25">
      <c r="A23" s="719"/>
      <c r="B23" s="720"/>
      <c r="C23" s="130" t="e">
        <f>'таланты+инициативы0,28'!#REF!</f>
        <v>#REF!</v>
      </c>
      <c r="D23" s="95" t="e">
        <f>'таланты+инициативы0,28'!#REF!</f>
        <v>#REF!</v>
      </c>
      <c r="E23" s="99" t="e">
        <f>'таланты+инициативы0,28'!#REF!</f>
        <v>#REF!</v>
      </c>
    </row>
    <row r="24" spans="1:5" ht="12" hidden="1" customHeight="1" x14ac:dyDescent="0.25">
      <c r="A24" s="719"/>
      <c r="B24" s="720"/>
      <c r="C24" s="130" t="e">
        <f>'таланты+инициативы0,28'!#REF!</f>
        <v>#REF!</v>
      </c>
      <c r="D24" s="95" t="e">
        <f>'таланты+инициативы0,28'!#REF!</f>
        <v>#REF!</v>
      </c>
      <c r="E24" s="99" t="e">
        <f>'таланты+инициативы0,28'!#REF!</f>
        <v>#REF!</v>
      </c>
    </row>
    <row r="25" spans="1:5" ht="12" hidden="1" customHeight="1" x14ac:dyDescent="0.25">
      <c r="A25" s="719"/>
      <c r="B25" s="720"/>
      <c r="C25" s="130" t="e">
        <f>'таланты+инициативы0,28'!#REF!</f>
        <v>#REF!</v>
      </c>
      <c r="D25" s="95" t="e">
        <f>'таланты+инициативы0,28'!#REF!</f>
        <v>#REF!</v>
      </c>
      <c r="E25" s="99" t="e">
        <f>'таланты+инициативы0,28'!#REF!</f>
        <v>#REF!</v>
      </c>
    </row>
    <row r="26" spans="1:5" ht="12" hidden="1" customHeight="1" x14ac:dyDescent="0.25">
      <c r="A26" s="719"/>
      <c r="B26" s="720"/>
      <c r="C26" s="130" t="e">
        <f>'таланты+инициативы0,28'!#REF!</f>
        <v>#REF!</v>
      </c>
      <c r="D26" s="95" t="e">
        <f>'таланты+инициативы0,28'!#REF!</f>
        <v>#REF!</v>
      </c>
      <c r="E26" s="99" t="e">
        <f>'таланты+инициативы0,28'!#REF!</f>
        <v>#REF!</v>
      </c>
    </row>
    <row r="27" spans="1:5" ht="12" hidden="1" customHeight="1" x14ac:dyDescent="0.25">
      <c r="A27" s="719"/>
      <c r="B27" s="720"/>
      <c r="C27" s="130" t="e">
        <f>'таланты+инициативы0,28'!#REF!</f>
        <v>#REF!</v>
      </c>
      <c r="D27" s="95" t="e">
        <f>'таланты+инициативы0,28'!#REF!</f>
        <v>#REF!</v>
      </c>
      <c r="E27" s="99" t="e">
        <f>'таланты+инициативы0,28'!#REF!</f>
        <v>#REF!</v>
      </c>
    </row>
    <row r="28" spans="1:5" ht="12" hidden="1" customHeight="1" x14ac:dyDescent="0.25">
      <c r="A28" s="719"/>
      <c r="B28" s="720"/>
      <c r="C28" s="130" t="e">
        <f>'таланты+инициативы0,28'!#REF!</f>
        <v>#REF!</v>
      </c>
      <c r="D28" s="95" t="e">
        <f>'таланты+инициативы0,28'!#REF!</f>
        <v>#REF!</v>
      </c>
      <c r="E28" s="99" t="e">
        <f>'таланты+инициативы0,28'!#REF!</f>
        <v>#REF!</v>
      </c>
    </row>
    <row r="29" spans="1:5" ht="12" hidden="1" customHeight="1" x14ac:dyDescent="0.25">
      <c r="A29" s="719"/>
      <c r="B29" s="720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719"/>
      <c r="B30" s="720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719"/>
      <c r="B31" s="720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719"/>
      <c r="B32" s="720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719"/>
      <c r="B33" s="720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719"/>
      <c r="B34" s="720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719"/>
      <c r="B35" s="720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719"/>
      <c r="B36" s="720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719"/>
      <c r="B37" s="720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719"/>
      <c r="B38" s="720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719"/>
      <c r="B39" s="720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719"/>
      <c r="B40" s="720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719"/>
      <c r="B41" s="720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719"/>
      <c r="B42" s="720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719"/>
      <c r="B43" s="720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719"/>
      <c r="B44" s="720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719"/>
      <c r="B45" s="720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719"/>
      <c r="B46" s="720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719"/>
      <c r="B47" s="720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719"/>
      <c r="B48" s="720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719"/>
      <c r="B49" s="720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719"/>
      <c r="B50" s="720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719"/>
      <c r="B51" s="720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719"/>
      <c r="B52" s="720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719"/>
      <c r="B53" s="720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719"/>
      <c r="B54" s="720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719"/>
      <c r="B55" s="720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719"/>
      <c r="B56" s="720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719"/>
      <c r="B57" s="720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719"/>
      <c r="B58" s="720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719"/>
      <c r="B59" s="720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719"/>
      <c r="B60" s="720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719"/>
      <c r="B61" s="720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719"/>
      <c r="B62" s="720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719"/>
      <c r="B63" s="720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719"/>
      <c r="B64" s="720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719"/>
      <c r="B65" s="720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719"/>
      <c r="B66" s="720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719"/>
      <c r="B67" s="720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719"/>
      <c r="B68" s="720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719"/>
      <c r="B69" s="720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719"/>
      <c r="B70" s="720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719"/>
      <c r="B71" s="720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719"/>
      <c r="B72" s="720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719"/>
      <c r="B73" s="720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719"/>
      <c r="B74" s="720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719"/>
      <c r="B75" s="720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719"/>
      <c r="B76" s="720"/>
      <c r="C76" s="662" t="s">
        <v>139</v>
      </c>
      <c r="D76" s="663"/>
      <c r="E76" s="664"/>
    </row>
    <row r="77" spans="1:5" ht="12" customHeight="1" x14ac:dyDescent="0.25">
      <c r="A77" s="719"/>
      <c r="B77" s="720"/>
      <c r="C77" s="662" t="s">
        <v>140</v>
      </c>
      <c r="D77" s="663"/>
      <c r="E77" s="664"/>
    </row>
    <row r="78" spans="1:5" ht="12" customHeight="1" x14ac:dyDescent="0.25">
      <c r="A78" s="719"/>
      <c r="B78" s="720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'таланты+инициативы0,28'!D144</f>
        <v>15.400000000000002</v>
      </c>
    </row>
    <row r="79" spans="1:5" ht="12" customHeight="1" x14ac:dyDescent="0.25">
      <c r="A79" s="719"/>
      <c r="B79" s="720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'таланты+инициативы0,28'!D145</f>
        <v>29.764000000000003</v>
      </c>
    </row>
    <row r="80" spans="1:5" ht="12" customHeight="1" x14ac:dyDescent="0.25">
      <c r="A80" s="719"/>
      <c r="B80" s="720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'таланты+инициативы0,28'!D146</f>
        <v>1.6800000000000002</v>
      </c>
    </row>
    <row r="81" spans="1:5" ht="12" customHeight="1" x14ac:dyDescent="0.25">
      <c r="A81" s="719"/>
      <c r="B81" s="720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'таланты+инициативы0,28'!D147</f>
        <v>1.6800000000000002</v>
      </c>
    </row>
    <row r="82" spans="1:5" ht="12" customHeight="1" x14ac:dyDescent="0.25">
      <c r="A82" s="719"/>
      <c r="B82" s="720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'таланты+инициативы0,28'!D148</f>
        <v>1.0180800000000001</v>
      </c>
    </row>
    <row r="83" spans="1:5" ht="12" customHeight="1" x14ac:dyDescent="0.25">
      <c r="A83" s="719"/>
      <c r="B83" s="720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'таланты+инициативы0,28'!D149</f>
        <v>0.93744000000000005</v>
      </c>
    </row>
    <row r="84" spans="1:5" ht="12" customHeight="1" x14ac:dyDescent="0.25">
      <c r="A84" s="719"/>
      <c r="B84" s="720"/>
      <c r="C84" s="665" t="s">
        <v>141</v>
      </c>
      <c r="D84" s="666"/>
      <c r="E84" s="667"/>
    </row>
    <row r="85" spans="1:5" ht="12" customHeight="1" x14ac:dyDescent="0.25">
      <c r="A85" s="719"/>
      <c r="B85" s="720"/>
      <c r="C85" s="249" t="str">
        <f>'таланты+инициативы0,28'!A190</f>
        <v xml:space="preserve">Мониторинг систем пожарной сигнализации  </v>
      </c>
      <c r="D85" s="137" t="s">
        <v>22</v>
      </c>
      <c r="E85" s="250">
        <f>'таланты+инициативы0,28'!D190</f>
        <v>3.3600000000000003</v>
      </c>
    </row>
    <row r="86" spans="1:5" ht="12" customHeight="1" x14ac:dyDescent="0.25">
      <c r="A86" s="719"/>
      <c r="B86" s="720"/>
      <c r="C86" s="249" t="str">
        <f>'таланты+инициативы0,28'!A191</f>
        <v xml:space="preserve">Уборка территории от снега </v>
      </c>
      <c r="D86" s="137" t="s">
        <v>22</v>
      </c>
      <c r="E86" s="250">
        <f>'таланты+инициативы0,28'!D191</f>
        <v>0.56000000000000005</v>
      </c>
    </row>
    <row r="87" spans="1:5" ht="12" customHeight="1" x14ac:dyDescent="0.25">
      <c r="A87" s="719"/>
      <c r="B87" s="720"/>
      <c r="C87" s="249" t="str">
        <f>'таланты+инициативы0,28'!A192</f>
        <v>Профилактическая дезинфекция</v>
      </c>
      <c r="D87" s="137" t="s">
        <v>22</v>
      </c>
      <c r="E87" s="250">
        <f>'таланты+инициативы0,28'!D192</f>
        <v>0.28000000000000003</v>
      </c>
    </row>
    <row r="88" spans="1:5" ht="12" customHeight="1" x14ac:dyDescent="0.25">
      <c r="A88" s="719"/>
      <c r="B88" s="720"/>
      <c r="C88" s="249" t="str">
        <f>'таланты+инициативы0,28'!A193</f>
        <v>Изготовление окна регистрации</v>
      </c>
      <c r="D88" s="137" t="s">
        <v>22</v>
      </c>
      <c r="E88" s="250">
        <f>'таланты+инициативы0,28'!D193</f>
        <v>0.28000000000000003</v>
      </c>
    </row>
    <row r="89" spans="1:5" ht="12" customHeight="1" x14ac:dyDescent="0.25">
      <c r="A89" s="719"/>
      <c r="B89" s="720"/>
      <c r="C89" s="249" t="str">
        <f>'таланты+инициативы0,28'!A194</f>
        <v>Замена аккумулятора охранной сигнализации</v>
      </c>
      <c r="D89" s="137" t="s">
        <v>22</v>
      </c>
      <c r="E89" s="250">
        <f>'таланты+инициативы0,28'!D194</f>
        <v>0.28000000000000003</v>
      </c>
    </row>
    <row r="90" spans="1:5" ht="12" customHeight="1" x14ac:dyDescent="0.25">
      <c r="A90" s="719"/>
      <c r="B90" s="720"/>
      <c r="C90" s="249" t="str">
        <f>'таланты+инициативы0,28'!A195</f>
        <v>Комплексное обслуживание системы тепловодоснабжения и конструктивных элементов здания</v>
      </c>
      <c r="D90" s="137" t="s">
        <v>22</v>
      </c>
      <c r="E90" s="250">
        <f>'таланты+инициативы0,28'!D195</f>
        <v>0.28000000000000003</v>
      </c>
    </row>
    <row r="91" spans="1:5" ht="14.45" customHeight="1" x14ac:dyDescent="0.25">
      <c r="A91" s="719"/>
      <c r="B91" s="720"/>
      <c r="C91" s="249" t="str">
        <f>'таланты+инициативы0,28'!A196</f>
        <v>Договор осмотр технического состояния автомобиля</v>
      </c>
      <c r="D91" s="137" t="s">
        <v>22</v>
      </c>
      <c r="E91" s="250">
        <f>'таланты+инициативы0,28'!D196</f>
        <v>23.8</v>
      </c>
    </row>
    <row r="92" spans="1:5" ht="14.45" customHeight="1" x14ac:dyDescent="0.25">
      <c r="A92" s="719"/>
      <c r="B92" s="720"/>
      <c r="C92" s="249" t="str">
        <f>'таланты+инициативы0,28'!A197</f>
        <v>Техническое обслуживание систем пожарной сигнализации</v>
      </c>
      <c r="D92" s="137" t="s">
        <v>22</v>
      </c>
      <c r="E92" s="250">
        <f>'таланты+инициативы0,28'!D197</f>
        <v>3.3600000000000003</v>
      </c>
    </row>
    <row r="93" spans="1:5" ht="14.45" customHeight="1" x14ac:dyDescent="0.25">
      <c r="A93" s="719"/>
      <c r="B93" s="720"/>
      <c r="C93" s="249" t="str">
        <f>'таланты+инициативы0,28'!A198</f>
        <v>Заправка катриджей</v>
      </c>
      <c r="D93" s="137" t="s">
        <v>22</v>
      </c>
      <c r="E93" s="250">
        <f>'таланты+инициативы0,28'!D198</f>
        <v>2.8000000000000003</v>
      </c>
    </row>
    <row r="94" spans="1:5" ht="14.45" customHeight="1" x14ac:dyDescent="0.25">
      <c r="A94" s="719"/>
      <c r="B94" s="720"/>
      <c r="C94" s="249" t="str">
        <f>'таланты+инициативы0,28'!A199</f>
        <v xml:space="preserve">ремонта отмостки и крылец здания МБУ «МЦ АУРУМ». </v>
      </c>
      <c r="D94" s="137" t="s">
        <v>22</v>
      </c>
      <c r="E94" s="250">
        <f>'таланты+инициативы0,28'!D199</f>
        <v>0.28000000000000003</v>
      </c>
    </row>
    <row r="95" spans="1:5" ht="14.45" customHeight="1" x14ac:dyDescent="0.25">
      <c r="A95" s="719"/>
      <c r="B95" s="720"/>
      <c r="C95" s="249">
        <f>'таланты+инициативы0,28'!A200</f>
        <v>0</v>
      </c>
      <c r="D95" s="137" t="s">
        <v>22</v>
      </c>
      <c r="E95" s="250">
        <f>'таланты+инициативы0,28'!D200</f>
        <v>0.28000000000000003</v>
      </c>
    </row>
    <row r="96" spans="1:5" ht="14.45" customHeight="1" x14ac:dyDescent="0.25">
      <c r="A96" s="719"/>
      <c r="B96" s="720"/>
      <c r="C96" s="249" t="str">
        <f>'таланты+инициативы0,28'!A201</f>
        <v>промывка и опрессовка</v>
      </c>
      <c r="D96" s="137" t="s">
        <v>22</v>
      </c>
      <c r="E96" s="250">
        <f>'таланты+инициативы0,28'!D201</f>
        <v>0.28000000000000003</v>
      </c>
    </row>
    <row r="97" spans="1:5" ht="14.45" customHeight="1" x14ac:dyDescent="0.25">
      <c r="A97" s="719"/>
      <c r="B97" s="720"/>
      <c r="C97" s="249" t="str">
        <f>'таланты+инициативы0,28'!A202</f>
        <v>Обучение электроустановки</v>
      </c>
      <c r="D97" s="137" t="s">
        <v>22</v>
      </c>
      <c r="E97" s="250">
        <f>'таланты+инициативы0,28'!D202</f>
        <v>0.56000000000000005</v>
      </c>
    </row>
    <row r="98" spans="1:5" ht="21" customHeight="1" x14ac:dyDescent="0.25">
      <c r="A98" s="719"/>
      <c r="B98" s="720"/>
      <c r="C98" s="249" t="str">
        <f>'таланты+инициативы0,28'!A203</f>
        <v>обучение молодежная политика</v>
      </c>
      <c r="D98" s="137" t="s">
        <v>22</v>
      </c>
      <c r="E98" s="250">
        <f>'таланты+инициативы0,28'!D203</f>
        <v>0.28000000000000003</v>
      </c>
    </row>
    <row r="99" spans="1:5" ht="23.25" customHeight="1" x14ac:dyDescent="0.25">
      <c r="A99" s="719"/>
      <c r="B99" s="720"/>
      <c r="C99" s="249" t="str">
        <f>'таланты+инициативы0,28'!A204</f>
        <v>обучение персонала</v>
      </c>
      <c r="D99" s="137" t="s">
        <v>22</v>
      </c>
      <c r="E99" s="250">
        <f>'таланты+инициативы0,28'!D204</f>
        <v>0.56000000000000005</v>
      </c>
    </row>
    <row r="100" spans="1:5" ht="15" customHeight="1" x14ac:dyDescent="0.25">
      <c r="A100" s="719"/>
      <c r="B100" s="720"/>
      <c r="C100" s="249" t="str">
        <f>'таланты+инициативы0,28'!A205</f>
        <v>Возмещение мед осмотра (112/212)</v>
      </c>
      <c r="D100" s="137" t="s">
        <v>22</v>
      </c>
      <c r="E100" s="250">
        <f>'таланты+инициативы0,28'!D205</f>
        <v>0.28000000000000003</v>
      </c>
    </row>
    <row r="101" spans="1:5" ht="15" customHeight="1" x14ac:dyDescent="0.25">
      <c r="A101" s="719"/>
      <c r="B101" s="720"/>
      <c r="C101" s="249" t="str">
        <f>'таланты+инициативы0,28'!A206</f>
        <v>Услуги СЕМИС подписка</v>
      </c>
      <c r="D101" s="137" t="s">
        <v>22</v>
      </c>
      <c r="E101" s="250">
        <f>'таланты+инициативы0,28'!D206</f>
        <v>0.28000000000000003</v>
      </c>
    </row>
    <row r="102" spans="1:5" ht="15" customHeight="1" x14ac:dyDescent="0.25">
      <c r="A102" s="719"/>
      <c r="B102" s="720"/>
      <c r="C102" s="249" t="str">
        <f>'таланты+инициативы0,28'!A207</f>
        <v>Изготовление полка двухуровневого для создания открытого пространства</v>
      </c>
      <c r="D102" s="137" t="s">
        <v>22</v>
      </c>
      <c r="E102" s="250">
        <f>'таланты+инициативы0,28'!D207</f>
        <v>0.28000000000000003</v>
      </c>
    </row>
    <row r="103" spans="1:5" ht="15" customHeight="1" x14ac:dyDescent="0.25">
      <c r="A103" s="719"/>
      <c r="B103" s="720"/>
      <c r="C103" s="249" t="str">
        <f>'таланты+инициативы0,28'!A208</f>
        <v>Предрейсовое медицинское обследование 200дней*85руб</v>
      </c>
      <c r="D103" s="137" t="s">
        <v>22</v>
      </c>
      <c r="E103" s="250">
        <f>'таланты+инициативы0,28'!D208</f>
        <v>56.000000000000007</v>
      </c>
    </row>
    <row r="104" spans="1:5" ht="15" customHeight="1" x14ac:dyDescent="0.25">
      <c r="A104" s="719"/>
      <c r="B104" s="720"/>
      <c r="C104" s="249" t="str">
        <f>'таланты+инициативы0,28'!A209</f>
        <v xml:space="preserve">Услуги охраны  </v>
      </c>
      <c r="D104" s="137" t="s">
        <v>22</v>
      </c>
      <c r="E104" s="250">
        <f>'таланты+инициативы0,28'!D209</f>
        <v>3.3600000000000003</v>
      </c>
    </row>
    <row r="105" spans="1:5" ht="15" customHeight="1" x14ac:dyDescent="0.25">
      <c r="A105" s="719"/>
      <c r="B105" s="720"/>
      <c r="C105" s="249" t="str">
        <f>'таланты+инициативы0,28'!A210</f>
        <v>Обслуживание систем охранных средств сигнализации (тревожная кнопка)</v>
      </c>
      <c r="D105" s="137" t="s">
        <v>22</v>
      </c>
      <c r="E105" s="250">
        <f>'таланты+инициативы0,28'!D210</f>
        <v>3.3600000000000003</v>
      </c>
    </row>
    <row r="106" spans="1:5" ht="15" customHeight="1" x14ac:dyDescent="0.25">
      <c r="A106" s="719"/>
      <c r="B106" s="720"/>
      <c r="C106" s="249" t="str">
        <f>'таланты+инициативы0,28'!A211</f>
        <v>Изготовление декоративного камина</v>
      </c>
      <c r="D106" s="137" t="s">
        <v>22</v>
      </c>
      <c r="E106" s="250">
        <f>'таланты+инициативы0,28'!D211</f>
        <v>0.28000000000000003</v>
      </c>
    </row>
    <row r="107" spans="1:5" ht="15" customHeight="1" x14ac:dyDescent="0.25">
      <c r="A107" s="719"/>
      <c r="B107" s="720"/>
      <c r="C107" s="249" t="str">
        <f>'таланты+инициативы0,28'!A212</f>
        <v>Организация питания воинов-интернационалистов</v>
      </c>
      <c r="D107" s="137" t="s">
        <v>22</v>
      </c>
      <c r="E107" s="250">
        <f>'таланты+инициативы0,28'!D212</f>
        <v>0.28000000000000003</v>
      </c>
    </row>
    <row r="108" spans="1:5" ht="15" customHeight="1" x14ac:dyDescent="0.25">
      <c r="A108" s="719"/>
      <c r="B108" s="720"/>
      <c r="C108" s="249" t="str">
        <f>'таланты+инициативы0,28'!A213</f>
        <v>изготовление металлической фигуры медведя (ГПХ)</v>
      </c>
      <c r="D108" s="137" t="s">
        <v>22</v>
      </c>
      <c r="E108" s="250">
        <f>'таланты+инициативы0,28'!D213</f>
        <v>0.28000000000000003</v>
      </c>
    </row>
    <row r="109" spans="1:5" ht="15" customHeight="1" x14ac:dyDescent="0.25">
      <c r="A109" s="719"/>
      <c r="B109" s="720"/>
      <c r="C109" s="249" t="str">
        <f>'таланты+инициативы0,28'!A214</f>
        <v>Microsoft Windows 10</v>
      </c>
      <c r="D109" s="137" t="s">
        <v>22</v>
      </c>
      <c r="E109" s="250">
        <f>'таланты+инициативы0,28'!D214</f>
        <v>0.56000000000000005</v>
      </c>
    </row>
    <row r="110" spans="1:5" ht="15" customHeight="1" x14ac:dyDescent="0.25">
      <c r="A110" s="719"/>
      <c r="B110" s="720"/>
      <c r="C110" s="249" t="str">
        <f>'таланты+инициативы0,28'!A215</f>
        <v>Microsoft Office 2013</v>
      </c>
      <c r="D110" s="137" t="s">
        <v>22</v>
      </c>
      <c r="E110" s="250">
        <f>'таланты+инициативы0,28'!D215</f>
        <v>0.56000000000000005</v>
      </c>
    </row>
    <row r="111" spans="1:5" ht="15" customHeight="1" x14ac:dyDescent="0.25">
      <c r="A111" s="719"/>
      <c r="B111" s="720"/>
      <c r="C111" s="640" t="s">
        <v>142</v>
      </c>
      <c r="D111" s="641"/>
      <c r="E111" s="642"/>
    </row>
    <row r="112" spans="1:5" ht="15" customHeight="1" x14ac:dyDescent="0.25">
      <c r="A112" s="719"/>
      <c r="B112" s="720"/>
      <c r="C112" s="140" t="str">
        <f>'инновации+добровольчество0,41'!A246</f>
        <v>переговоры по району, мин</v>
      </c>
      <c r="D112" s="101" t="s">
        <v>90</v>
      </c>
      <c r="E112" s="233">
        <f>'таланты+инициативы0,28'!D171</f>
        <v>30.998800000000003</v>
      </c>
    </row>
    <row r="113" spans="1:5" ht="15" customHeight="1" x14ac:dyDescent="0.25">
      <c r="A113" s="719"/>
      <c r="B113" s="720"/>
      <c r="C113" s="140" t="str">
        <f>'инновации+добровольчество0,41'!A247</f>
        <v>Переговоры за пределами района,мин</v>
      </c>
      <c r="D113" s="101" t="s">
        <v>22</v>
      </c>
      <c r="E113" s="376">
        <f>'таланты+инициативы0,28'!D172</f>
        <v>2.8056000000000001</v>
      </c>
    </row>
    <row r="114" spans="1:5" ht="15" customHeight="1" x14ac:dyDescent="0.25">
      <c r="A114" s="719"/>
      <c r="B114" s="720"/>
      <c r="C114" s="140" t="str">
        <f>'инновации+добровольчество0,41'!A248</f>
        <v>Абоненская плата за услуги связи, номеров</v>
      </c>
      <c r="D114" s="101" t="s">
        <v>37</v>
      </c>
      <c r="E114" s="233">
        <f>'таланты+инициативы0,28'!D173</f>
        <v>0.28000000000000003</v>
      </c>
    </row>
    <row r="115" spans="1:5" ht="15" customHeight="1" x14ac:dyDescent="0.25">
      <c r="A115" s="719"/>
      <c r="B115" s="720"/>
      <c r="C115" s="140" t="str">
        <f>'инновации+добровольчество0,41'!A249</f>
        <v xml:space="preserve">Абоненская плата за услуги Интернет </v>
      </c>
      <c r="D115" s="101" t="s">
        <v>37</v>
      </c>
      <c r="E115" s="233">
        <f>'таланты+инициативы0,28'!D174</f>
        <v>0.28000000000000003</v>
      </c>
    </row>
    <row r="116" spans="1:5" ht="15" customHeight="1" x14ac:dyDescent="0.25">
      <c r="A116" s="719"/>
      <c r="B116" s="720"/>
      <c r="C116" s="140" t="str">
        <f>'инновации+добровольчество0,41'!A250</f>
        <v>Почтовые конверты</v>
      </c>
      <c r="D116" s="101" t="s">
        <v>38</v>
      </c>
      <c r="E116" s="233">
        <f>'таланты+инициативы0,28'!D175</f>
        <v>47.6</v>
      </c>
    </row>
    <row r="117" spans="1:5" ht="15" hidden="1" customHeight="1" x14ac:dyDescent="0.25">
      <c r="A117" s="719"/>
      <c r="B117" s="720"/>
      <c r="C117" s="140" t="e">
        <f>'инновации+добровольчество0,41'!#REF!</f>
        <v>#REF!</v>
      </c>
      <c r="D117" s="101" t="s">
        <v>38</v>
      </c>
      <c r="E117" s="233" t="e">
        <f>'таланты+инициативы0,28'!#REF!</f>
        <v>#REF!</v>
      </c>
    </row>
    <row r="118" spans="1:5" ht="15" hidden="1" customHeight="1" x14ac:dyDescent="0.25">
      <c r="A118" s="719"/>
      <c r="B118" s="720"/>
      <c r="C118" s="140" t="e">
        <f>'инновации+добровольчество0,41'!#REF!</f>
        <v>#REF!</v>
      </c>
      <c r="D118" s="101" t="s">
        <v>22</v>
      </c>
      <c r="E118" s="233" t="e">
        <f>'таланты+инициативы0,28'!#REF!</f>
        <v>#REF!</v>
      </c>
    </row>
    <row r="119" spans="1:5" ht="12" customHeight="1" x14ac:dyDescent="0.25">
      <c r="A119" s="719"/>
      <c r="B119" s="720"/>
      <c r="C119" s="643" t="s">
        <v>143</v>
      </c>
      <c r="D119" s="644"/>
      <c r="E119" s="645"/>
    </row>
    <row r="120" spans="1:5" ht="21.6" customHeight="1" x14ac:dyDescent="0.25">
      <c r="A120" s="719"/>
      <c r="B120" s="720"/>
      <c r="C120" s="110" t="s">
        <v>193</v>
      </c>
      <c r="D120" s="251" t="s">
        <v>147</v>
      </c>
      <c r="E120" s="170">
        <f>'таланты+инициативы0,28'!E93</f>
        <v>0.28000000000000003</v>
      </c>
    </row>
    <row r="121" spans="1:5" ht="12" customHeight="1" x14ac:dyDescent="0.25">
      <c r="A121" s="719"/>
      <c r="B121" s="720"/>
      <c r="C121" s="120" t="s">
        <v>145</v>
      </c>
      <c r="D121" s="251" t="s">
        <v>138</v>
      </c>
      <c r="E121" s="170">
        <f>'таланты+инициативы0,28'!E94</f>
        <v>0.28000000000000003</v>
      </c>
    </row>
    <row r="122" spans="1:5" ht="24.6" customHeight="1" x14ac:dyDescent="0.25">
      <c r="A122" s="719"/>
      <c r="B122" s="720"/>
      <c r="C122" s="120" t="s">
        <v>91</v>
      </c>
      <c r="D122" s="251" t="s">
        <v>138</v>
      </c>
      <c r="E122" s="170">
        <f>'таланты+инициативы0,28'!E95</f>
        <v>0.14000000000000001</v>
      </c>
    </row>
    <row r="123" spans="1:5" ht="24.6" customHeight="1" x14ac:dyDescent="0.25">
      <c r="A123" s="719"/>
      <c r="B123" s="720"/>
      <c r="C123" s="120" t="s">
        <v>146</v>
      </c>
      <c r="D123" s="251" t="s">
        <v>138</v>
      </c>
      <c r="E123" s="170">
        <f>'таланты+инициативы0,28'!E96</f>
        <v>0.28000000000000003</v>
      </c>
    </row>
    <row r="124" spans="1:5" ht="24.6" customHeight="1" x14ac:dyDescent="0.25">
      <c r="A124" s="719"/>
      <c r="B124" s="720"/>
      <c r="C124" s="537" t="s">
        <v>150</v>
      </c>
      <c r="D124" s="538"/>
      <c r="E124" s="539"/>
    </row>
    <row r="125" spans="1:5" ht="12" customHeight="1" x14ac:dyDescent="0.25">
      <c r="A125" s="719"/>
      <c r="B125" s="720"/>
      <c r="C125" s="514" t="str">
        <f>'инновации+добровольчество0,41'!A216</f>
        <v>Пособие по уходу за ребенком до 3-х лет</v>
      </c>
      <c r="D125" s="513" t="s">
        <v>126</v>
      </c>
      <c r="E125" s="234">
        <f>E120</f>
        <v>0.28000000000000003</v>
      </c>
    </row>
    <row r="126" spans="1:5" ht="12" customHeight="1" x14ac:dyDescent="0.25">
      <c r="A126" s="719"/>
      <c r="B126" s="720"/>
      <c r="C126" s="643" t="s">
        <v>151</v>
      </c>
      <c r="D126" s="644"/>
      <c r="E126" s="645"/>
    </row>
    <row r="127" spans="1:5" ht="12" customHeight="1" x14ac:dyDescent="0.25">
      <c r="A127" s="719"/>
      <c r="B127" s="720"/>
      <c r="C127" s="121" t="s">
        <v>202</v>
      </c>
      <c r="D127" s="101" t="s">
        <v>39</v>
      </c>
      <c r="E127" s="231">
        <f>'таланты+инициативы0,28'!E162</f>
        <v>5.6000000000000005</v>
      </c>
    </row>
    <row r="128" spans="1:5" ht="12" customHeight="1" x14ac:dyDescent="0.25">
      <c r="A128" s="719"/>
      <c r="B128" s="720"/>
      <c r="C128" s="121" t="s">
        <v>203</v>
      </c>
      <c r="D128" s="101" t="s">
        <v>39</v>
      </c>
      <c r="E128" s="231">
        <f>'таланты+инициативы0,28'!E163</f>
        <v>1.4000000000000001</v>
      </c>
    </row>
    <row r="129" spans="1:5" ht="12" customHeight="1" x14ac:dyDescent="0.25">
      <c r="A129" s="719"/>
      <c r="B129" s="720"/>
      <c r="C129" s="121" t="s">
        <v>204</v>
      </c>
      <c r="D129" s="101" t="s">
        <v>39</v>
      </c>
      <c r="E129" s="231">
        <f>'таланты+инициативы0,28'!E164</f>
        <v>4.2</v>
      </c>
    </row>
    <row r="130" spans="1:5" ht="12" customHeight="1" x14ac:dyDescent="0.25">
      <c r="A130" s="719"/>
      <c r="B130" s="720"/>
      <c r="C130" s="540" t="s">
        <v>152</v>
      </c>
      <c r="D130" s="541"/>
      <c r="E130" s="542"/>
    </row>
    <row r="131" spans="1:5" ht="11.25" customHeight="1" x14ac:dyDescent="0.25">
      <c r="A131" s="719"/>
      <c r="B131" s="720"/>
      <c r="C131" s="124" t="str">
        <f>'инновации+добровольчество0,41'!A258</f>
        <v>Провоз груза 2000 кг (1 кг=9,50 руб)</v>
      </c>
      <c r="D131" s="125" t="s">
        <v>22</v>
      </c>
      <c r="E131" s="239">
        <f>E127</f>
        <v>5.6000000000000005</v>
      </c>
    </row>
    <row r="132" spans="1:5" ht="12" customHeight="1" x14ac:dyDescent="0.25">
      <c r="A132" s="719"/>
      <c r="B132" s="720"/>
      <c r="C132" s="640" t="s">
        <v>153</v>
      </c>
      <c r="D132" s="641"/>
      <c r="E132" s="642"/>
    </row>
    <row r="133" spans="1:5" ht="12.75" customHeight="1" x14ac:dyDescent="0.25">
      <c r="A133" s="719"/>
      <c r="B133" s="720"/>
      <c r="C133" s="112" t="str">
        <f>'натур показатели патриотика'!C107</f>
        <v>Пиломатериал доска 100*50*6000</v>
      </c>
      <c r="D133" s="67" t="str">
        <f>'натур показатели патриотика'!D107</f>
        <v>шт</v>
      </c>
      <c r="E133" s="170">
        <f>'таланты+инициативы0,28'!D222</f>
        <v>0.28000000000000003</v>
      </c>
    </row>
    <row r="134" spans="1:5" ht="12.75" customHeight="1" x14ac:dyDescent="0.25">
      <c r="A134" s="719"/>
      <c r="B134" s="720"/>
      <c r="C134" s="112" t="str">
        <f>'натур показатели патриотика'!C108</f>
        <v>Брусок 100*100*6000</v>
      </c>
      <c r="D134" s="67" t="str">
        <f>'натур показатели патриотика'!D108</f>
        <v>шт</v>
      </c>
      <c r="E134" s="170">
        <f>'таланты+инициативы0,28'!D223</f>
        <v>0.28000000000000003</v>
      </c>
    </row>
    <row r="135" spans="1:5" ht="12" customHeight="1" x14ac:dyDescent="0.25">
      <c r="A135" s="719"/>
      <c r="B135" s="720"/>
      <c r="C135" s="112" t="str">
        <f>'натур показатели патриотика'!C109</f>
        <v>Искусственный камень</v>
      </c>
      <c r="D135" s="67" t="str">
        <f>'натур показатели патриотика'!D109</f>
        <v>шт</v>
      </c>
      <c r="E135" s="170">
        <f>'таланты+инициативы0,28'!D224</f>
        <v>2.8000000000000003</v>
      </c>
    </row>
    <row r="136" spans="1:5" ht="12" customHeight="1" x14ac:dyDescent="0.25">
      <c r="A136" s="719"/>
      <c r="B136" s="720"/>
      <c r="C136" s="112" t="str">
        <f>'натур показатели патриотика'!C110</f>
        <v>карбонат монолитный</v>
      </c>
      <c r="D136" s="67" t="str">
        <f>'натур показатели патриотика'!D110</f>
        <v>шт</v>
      </c>
      <c r="E136" s="170">
        <f>'таланты+инициативы0,28'!D225</f>
        <v>1.4000000000000001</v>
      </c>
    </row>
    <row r="137" spans="1:5" ht="12" customHeight="1" x14ac:dyDescent="0.25">
      <c r="A137" s="719"/>
      <c r="B137" s="720"/>
      <c r="C137" s="112" t="str">
        <f>'натур показатели патриотика'!C111</f>
        <v>Катридж CN54AE HP 933XL</v>
      </c>
      <c r="D137" s="67" t="str">
        <f>'натур показатели патриотика'!D111</f>
        <v>шт</v>
      </c>
      <c r="E137" s="170">
        <f>'таланты+инициативы0,28'!D226</f>
        <v>2.5200000000000005</v>
      </c>
    </row>
    <row r="138" spans="1:5" ht="12" customHeight="1" x14ac:dyDescent="0.25">
      <c r="A138" s="719"/>
      <c r="B138" s="720"/>
      <c r="C138" s="112" t="str">
        <f>'натур показатели патриотика'!C112</f>
        <v>Катридж CN54AE HP 932XL</v>
      </c>
      <c r="D138" s="67" t="str">
        <f>'натур показатели патриотика'!D112</f>
        <v>шт</v>
      </c>
      <c r="E138" s="170">
        <f>'таланты+инициативы0,28'!D227</f>
        <v>0.84000000000000008</v>
      </c>
    </row>
    <row r="139" spans="1:5" ht="12" customHeight="1" x14ac:dyDescent="0.25">
      <c r="A139" s="719"/>
      <c r="B139" s="720"/>
      <c r="C139" s="112" t="str">
        <f>'натур показатели патриотика'!C113</f>
        <v>Чернила Canon Gl-490C PIXMA</v>
      </c>
      <c r="D139" s="67" t="str">
        <f>'натур показатели патриотика'!D113</f>
        <v>шт</v>
      </c>
      <c r="E139" s="170">
        <f>'таланты+инициативы0,28'!D228</f>
        <v>3.3600000000000003</v>
      </c>
    </row>
    <row r="140" spans="1:5" ht="12" customHeight="1" x14ac:dyDescent="0.25">
      <c r="A140" s="719"/>
      <c r="B140" s="720"/>
      <c r="C140" s="112" t="str">
        <f>'натур показатели патриотика'!C114</f>
        <v>Бумага А4 500 шт. SvetoCopy</v>
      </c>
      <c r="D140" s="67" t="str">
        <f>'натур показатели патриотика'!D114</f>
        <v>шт</v>
      </c>
      <c r="E140" s="170">
        <f>'таланты+инициативы0,28'!D229</f>
        <v>8.4</v>
      </c>
    </row>
    <row r="141" spans="1:5" ht="12" customHeight="1" x14ac:dyDescent="0.25">
      <c r="A141" s="719"/>
      <c r="B141" s="720"/>
      <c r="C141" s="112" t="str">
        <f>'натур показатели патриотика'!C115</f>
        <v>Бумага А3 500 шт. SvetoCopy</v>
      </c>
      <c r="D141" s="67" t="str">
        <f>'натур показатели патриотика'!D115</f>
        <v>шт</v>
      </c>
      <c r="E141" s="170">
        <f>'таланты+инициативы0,28'!D230</f>
        <v>5.6000000000000005</v>
      </c>
    </row>
    <row r="142" spans="1:5" ht="12" customHeight="1" x14ac:dyDescent="0.25">
      <c r="A142" s="719"/>
      <c r="B142" s="720"/>
      <c r="C142" s="112" t="str">
        <f>'натур показатели патриотика'!C116</f>
        <v>Фанера</v>
      </c>
      <c r="D142" s="67" t="str">
        <f>'натур показатели патриотика'!D116</f>
        <v>шт</v>
      </c>
      <c r="E142" s="170">
        <f>'таланты+инициативы0,28'!D231</f>
        <v>0.28000000000000003</v>
      </c>
    </row>
    <row r="143" spans="1:5" ht="12" customHeight="1" x14ac:dyDescent="0.25">
      <c r="A143" s="719"/>
      <c r="B143" s="720"/>
      <c r="C143" s="112" t="str">
        <f>'натур показатели патриотика'!C117</f>
        <v>Антифриз</v>
      </c>
      <c r="D143" s="67" t="str">
        <f>'натур показатели патриотика'!D117</f>
        <v>шт</v>
      </c>
      <c r="E143" s="170">
        <f>'таланты+инициативы0,28'!D232</f>
        <v>8.4</v>
      </c>
    </row>
    <row r="144" spans="1:5" ht="12" customHeight="1" x14ac:dyDescent="0.25">
      <c r="A144" s="719"/>
      <c r="B144" s="720"/>
      <c r="C144" s="112" t="str">
        <f>'натур показатели патриотика'!C118</f>
        <v>насадка на швабру</v>
      </c>
      <c r="D144" s="67" t="str">
        <f>'натур показатели патриотика'!D118</f>
        <v>шт</v>
      </c>
      <c r="E144" s="170">
        <f>'таланты+инициативы0,28'!D233</f>
        <v>2.8000000000000003</v>
      </c>
    </row>
    <row r="145" spans="1:5" ht="12" customHeight="1" x14ac:dyDescent="0.25">
      <c r="A145" s="719"/>
      <c r="B145" s="720"/>
      <c r="C145" s="112" t="str">
        <f>'натур показатели патриотика'!C119</f>
        <v>дез ср/во для сантехники</v>
      </c>
      <c r="D145" s="67" t="str">
        <f>'натур показатели патриотика'!D119</f>
        <v>шт</v>
      </c>
      <c r="E145" s="170">
        <f>'таланты+инициативы0,28'!D234</f>
        <v>0.56000000000000005</v>
      </c>
    </row>
    <row r="146" spans="1:5" ht="12" hidden="1" customHeight="1" x14ac:dyDescent="0.25">
      <c r="A146" s="719"/>
      <c r="B146" s="720"/>
      <c r="C146" s="112" t="str">
        <f>'натур показатели патриотика'!C120</f>
        <v>ср-во для чистки стекол</v>
      </c>
      <c r="D146" s="67" t="str">
        <f>'натур показатели патриотика'!D120</f>
        <v>шт</v>
      </c>
      <c r="E146" s="170">
        <f>'таланты+инициативы0,28'!D235</f>
        <v>1.4000000000000001</v>
      </c>
    </row>
    <row r="147" spans="1:5" ht="12" hidden="1" customHeight="1" x14ac:dyDescent="0.25">
      <c r="A147" s="719"/>
      <c r="B147" s="720"/>
      <c r="C147" s="112" t="str">
        <f>'натур показатели патриотика'!C121</f>
        <v>ватные диски +терм</v>
      </c>
      <c r="D147" s="67" t="str">
        <f>'натур показатели патриотика'!D121</f>
        <v>шт</v>
      </c>
      <c r="E147" s="170">
        <f>'таланты+инициативы0,28'!D236</f>
        <v>0.28000000000000003</v>
      </c>
    </row>
    <row r="148" spans="1:5" ht="12" customHeight="1" x14ac:dyDescent="0.25">
      <c r="A148" s="719"/>
      <c r="B148" s="720"/>
      <c r="C148" s="112" t="str">
        <f>'натур показатели патриотика'!C122</f>
        <v>щит мет</v>
      </c>
      <c r="D148" s="67" t="str">
        <f>'натур показатели патриотика'!D122</f>
        <v>шт</v>
      </c>
      <c r="E148" s="170">
        <f>'таланты+инициативы0,28'!D237</f>
        <v>0.28000000000000003</v>
      </c>
    </row>
    <row r="149" spans="1:5" ht="12" hidden="1" customHeight="1" x14ac:dyDescent="0.25">
      <c r="A149" s="719"/>
      <c r="B149" s="720"/>
      <c r="C149" s="112" t="str">
        <f>'натур показатели патриотика'!C123</f>
        <v>уголок</v>
      </c>
      <c r="D149" s="67" t="str">
        <f>'натур показатели патриотика'!D123</f>
        <v>шт</v>
      </c>
      <c r="E149" s="170">
        <f>'таланты+инициативы0,28'!D238</f>
        <v>0.56000000000000005</v>
      </c>
    </row>
    <row r="150" spans="1:5" ht="12" hidden="1" customHeight="1" x14ac:dyDescent="0.25">
      <c r="A150" s="719"/>
      <c r="B150" s="720"/>
      <c r="C150" s="112" t="str">
        <f>'натур показатели патриотика'!C124</f>
        <v>держатель зерк</v>
      </c>
      <c r="D150" s="67" t="str">
        <f>'натур показатели патриотика'!D124</f>
        <v>шт</v>
      </c>
      <c r="E150" s="170">
        <f>'таланты+инициативы0,28'!D239</f>
        <v>1.6800000000000002</v>
      </c>
    </row>
    <row r="151" spans="1:5" ht="12" hidden="1" customHeight="1" x14ac:dyDescent="0.25">
      <c r="A151" s="719"/>
      <c r="B151" s="720"/>
      <c r="C151" s="112" t="str">
        <f>'натур показатели патриотика'!C125</f>
        <v>краска</v>
      </c>
      <c r="D151" s="67" t="str">
        <f>'натур показатели патриотика'!D125</f>
        <v>шт</v>
      </c>
      <c r="E151" s="170">
        <f>'таланты+инициативы0,28'!D240</f>
        <v>0.28000000000000003</v>
      </c>
    </row>
    <row r="152" spans="1:5" ht="12" customHeight="1" x14ac:dyDescent="0.25">
      <c r="A152" s="719"/>
      <c r="B152" s="720"/>
      <c r="C152" s="112" t="str">
        <f>'натур показатели патриотика'!C126</f>
        <v>колер</v>
      </c>
      <c r="D152" s="67" t="str">
        <f>'натур показатели патриотика'!D126</f>
        <v>шт</v>
      </c>
      <c r="E152" s="170">
        <f>'таланты+инициативы0,28'!D241</f>
        <v>2.5200000000000005</v>
      </c>
    </row>
    <row r="153" spans="1:5" ht="12" customHeight="1" x14ac:dyDescent="0.25">
      <c r="A153" s="719"/>
      <c r="B153" s="720"/>
      <c r="C153" s="112" t="str">
        <f>'натур показатели патриотика'!C127</f>
        <v>эмаль</v>
      </c>
      <c r="D153" s="67" t="str">
        <f>'натур показатели патриотика'!D127</f>
        <v>шт</v>
      </c>
      <c r="E153" s="170">
        <f>'таланты+инициативы0,28'!D242</f>
        <v>0.28000000000000003</v>
      </c>
    </row>
    <row r="154" spans="1:5" ht="12" customHeight="1" x14ac:dyDescent="0.25">
      <c r="A154" s="719"/>
      <c r="B154" s="720"/>
      <c r="C154" s="112" t="str">
        <f>'натур показатели патриотика'!C128</f>
        <v>Молоток</v>
      </c>
      <c r="D154" s="67" t="str">
        <f>'натур показатели патриотика'!D128</f>
        <v>шт</v>
      </c>
      <c r="E154" s="170">
        <f>'таланты+инициативы0,28'!D243</f>
        <v>0.84000000000000008</v>
      </c>
    </row>
    <row r="155" spans="1:5" ht="12" customHeight="1" x14ac:dyDescent="0.25">
      <c r="A155" s="719"/>
      <c r="B155" s="720"/>
      <c r="C155" s="112" t="str">
        <f>'натур показатели патриотика'!C129</f>
        <v>Гвозди</v>
      </c>
      <c r="D155" s="67" t="str">
        <f>'натур показатели патриотика'!D129</f>
        <v>шт</v>
      </c>
      <c r="E155" s="170">
        <f>'таланты+инициативы0,28'!D244</f>
        <v>0.56000000000000005</v>
      </c>
    </row>
    <row r="156" spans="1:5" ht="12" customHeight="1" x14ac:dyDescent="0.25">
      <c r="A156" s="719"/>
      <c r="B156" s="720"/>
      <c r="C156" s="112" t="str">
        <f>'натур показатели патриотика'!C130</f>
        <v>Тонер НР</v>
      </c>
      <c r="D156" s="67" t="str">
        <f>'натур показатели патриотика'!D130</f>
        <v>шт</v>
      </c>
      <c r="E156" s="170">
        <f>'таланты+инициативы0,28'!D245</f>
        <v>0.56000000000000005</v>
      </c>
    </row>
    <row r="157" spans="1:5" ht="12" customHeight="1" x14ac:dyDescent="0.25">
      <c r="A157" s="719"/>
      <c r="B157" s="720"/>
      <c r="C157" s="112" t="str">
        <f>'натур показатели патриотика'!C131</f>
        <v>Тонер Canon</v>
      </c>
      <c r="D157" s="67" t="str">
        <f>'натур показатели патриотика'!D131</f>
        <v>шт</v>
      </c>
      <c r="E157" s="170">
        <f>'таланты+инициативы0,28'!D246</f>
        <v>0.28000000000000003</v>
      </c>
    </row>
    <row r="158" spans="1:5" ht="12" customHeight="1" x14ac:dyDescent="0.25">
      <c r="A158" s="719"/>
      <c r="B158" s="720"/>
      <c r="C158" s="112" t="str">
        <f>'натур показатели патриотика'!C132</f>
        <v>Эмаль</v>
      </c>
      <c r="D158" s="67" t="str">
        <f>'натур показатели патриотика'!D132</f>
        <v>шт</v>
      </c>
      <c r="E158" s="170">
        <f>'таланты+инициативы0,28'!D247</f>
        <v>0.56000000000000005</v>
      </c>
    </row>
    <row r="159" spans="1:5" ht="12" customHeight="1" x14ac:dyDescent="0.25">
      <c r="A159" s="719"/>
      <c r="B159" s="720"/>
      <c r="C159" s="112" t="str">
        <f>'натур показатели патриотика'!C133</f>
        <v>Эмаль аэрозоль</v>
      </c>
      <c r="D159" s="67" t="str">
        <f>'натур показатели патриотика'!D133</f>
        <v>шт</v>
      </c>
      <c r="E159" s="170">
        <f>'таланты+инициативы0,28'!D248</f>
        <v>2.2400000000000002</v>
      </c>
    </row>
    <row r="160" spans="1:5" ht="12" customHeight="1" x14ac:dyDescent="0.25">
      <c r="A160" s="719"/>
      <c r="B160" s="720"/>
      <c r="C160" s="112" t="str">
        <f>'натур показатели патриотика'!C134</f>
        <v>пакет майка</v>
      </c>
      <c r="D160" s="67" t="str">
        <f>'натур показатели патриотика'!D134</f>
        <v>шт</v>
      </c>
      <c r="E160" s="170">
        <f>'таланты+инициативы0,28'!D249</f>
        <v>0.28000000000000003</v>
      </c>
    </row>
    <row r="161" spans="1:5" ht="12" customHeight="1" x14ac:dyDescent="0.25">
      <c r="A161" s="719"/>
      <c r="B161" s="720"/>
      <c r="C161" s="112" t="str">
        <f>'натур показатели патриотика'!C135</f>
        <v>шпилька резьбовая</v>
      </c>
      <c r="D161" s="67" t="str">
        <f>'натур показатели патриотика'!D135</f>
        <v>шт</v>
      </c>
      <c r="E161" s="170">
        <f>'таланты+инициативы0,28'!D250</f>
        <v>0.56000000000000005</v>
      </c>
    </row>
    <row r="162" spans="1:5" ht="12" customHeight="1" x14ac:dyDescent="0.25">
      <c r="A162" s="719"/>
      <c r="B162" s="720"/>
      <c r="C162" s="112" t="str">
        <f>'натур показатели патриотика'!C136</f>
        <v>сверло</v>
      </c>
      <c r="D162" s="67" t="str">
        <f>'натур показатели патриотика'!D136</f>
        <v>шт</v>
      </c>
      <c r="E162" s="170">
        <f>'таланты+инициативы0,28'!D251</f>
        <v>0.28000000000000003</v>
      </c>
    </row>
    <row r="163" spans="1:5" ht="12" customHeight="1" x14ac:dyDescent="0.25">
      <c r="A163" s="719"/>
      <c r="B163" s="720"/>
      <c r="C163" s="112" t="str">
        <f>'натур показатели патриотика'!C137</f>
        <v>антифриз</v>
      </c>
      <c r="D163" s="67" t="str">
        <f>'натур показатели патриотика'!D137</f>
        <v>шт</v>
      </c>
      <c r="E163" s="170">
        <f>'таланты+инициативы0,28'!D252</f>
        <v>0.56000000000000005</v>
      </c>
    </row>
    <row r="164" spans="1:5" ht="12" customHeight="1" x14ac:dyDescent="0.25">
      <c r="A164" s="719"/>
      <c r="B164" s="720"/>
      <c r="C164" s="112" t="str">
        <f>'натур показатели патриотика'!C138</f>
        <v>ледоруб</v>
      </c>
      <c r="D164" s="67" t="str">
        <f>'натур показатели патриотика'!D138</f>
        <v>шт</v>
      </c>
      <c r="E164" s="170">
        <f>'таланты+инициативы0,28'!D253</f>
        <v>0.28000000000000003</v>
      </c>
    </row>
    <row r="165" spans="1:5" ht="12" customHeight="1" x14ac:dyDescent="0.25">
      <c r="A165" s="719"/>
      <c r="B165" s="720"/>
      <c r="C165" s="112" t="str">
        <f>'натур показатели патриотика'!C139</f>
        <v>труба</v>
      </c>
      <c r="D165" s="67" t="str">
        <f>'натур показатели патриотика'!D139</f>
        <v>шт</v>
      </c>
      <c r="E165" s="170">
        <f>'таланты+инициативы0,28'!D254</f>
        <v>0.84000000000000008</v>
      </c>
    </row>
    <row r="166" spans="1:5" ht="12" customHeight="1" x14ac:dyDescent="0.25">
      <c r="A166" s="719"/>
      <c r="B166" s="720"/>
      <c r="C166" s="112" t="str">
        <f>'натур показатели патриотика'!C140</f>
        <v>кронштейн</v>
      </c>
      <c r="D166" s="67" t="str">
        <f>'натур показатели патриотика'!D140</f>
        <v>шт</v>
      </c>
      <c r="E166" s="170">
        <f>'таланты+инициативы0,28'!D255</f>
        <v>0.56000000000000005</v>
      </c>
    </row>
    <row r="167" spans="1:5" ht="12" customHeight="1" x14ac:dyDescent="0.25">
      <c r="A167" s="719"/>
      <c r="B167" s="720"/>
      <c r="C167" s="112" t="str">
        <f>'натур показатели патриотика'!C141</f>
        <v>электрод</v>
      </c>
      <c r="D167" s="67" t="str">
        <f>'натур показатели патриотика'!D141</f>
        <v>шт</v>
      </c>
      <c r="E167" s="170">
        <f>'таланты+инициативы0,28'!D256</f>
        <v>0.28000000000000003</v>
      </c>
    </row>
    <row r="168" spans="1:5" ht="12" customHeight="1" x14ac:dyDescent="0.25">
      <c r="A168" s="719"/>
      <c r="B168" s="720"/>
      <c r="C168" s="112" t="str">
        <f>'натур показатели патриотика'!C142</f>
        <v>круг отрезной</v>
      </c>
      <c r="D168" s="67" t="str">
        <f>'натур показатели патриотика'!D142</f>
        <v>шт</v>
      </c>
      <c r="E168" s="170">
        <f>'таланты+инициативы0,28'!D257</f>
        <v>3.08</v>
      </c>
    </row>
    <row r="169" spans="1:5" ht="12" customHeight="1" x14ac:dyDescent="0.25">
      <c r="A169" s="719"/>
      <c r="B169" s="720"/>
      <c r="C169" s="112" t="str">
        <f>'натур показатели патриотика'!C143</f>
        <v>круг отрезной</v>
      </c>
      <c r="D169" s="67" t="str">
        <f>'натур показатели патриотика'!D143</f>
        <v>шт</v>
      </c>
      <c r="E169" s="170">
        <f>'таланты+инициативы0,28'!D258</f>
        <v>0.84000000000000008</v>
      </c>
    </row>
    <row r="170" spans="1:5" ht="12" customHeight="1" x14ac:dyDescent="0.25">
      <c r="A170" s="719"/>
      <c r="B170" s="720"/>
      <c r="C170" s="112" t="str">
        <f>'натур показатели патриотика'!C144</f>
        <v>круг отрезной</v>
      </c>
      <c r="D170" s="67" t="str">
        <f>'натур показатели патриотика'!D144</f>
        <v>шт</v>
      </c>
      <c r="E170" s="170">
        <f>'таланты+инициативы0,28'!D259</f>
        <v>0.28000000000000003</v>
      </c>
    </row>
    <row r="171" spans="1:5" ht="12" customHeight="1" x14ac:dyDescent="0.25">
      <c r="A171" s="719"/>
      <c r="B171" s="720"/>
      <c r="C171" s="112" t="str">
        <f>'натур показатели патриотика'!C145</f>
        <v>круг зачистной</v>
      </c>
      <c r="D171" s="67" t="str">
        <f>'натур показатели патриотика'!D145</f>
        <v>шт</v>
      </c>
      <c r="E171" s="170">
        <f>'таланты+инициативы0,28'!D260</f>
        <v>0.28000000000000003</v>
      </c>
    </row>
    <row r="172" spans="1:5" ht="12" customHeight="1" x14ac:dyDescent="0.25">
      <c r="A172" s="719"/>
      <c r="B172" s="720"/>
      <c r="C172" s="112" t="str">
        <f>'натур показатели патриотика'!C146</f>
        <v>кабель-канал</v>
      </c>
      <c r="D172" s="67" t="str">
        <f>'натур показатели патриотика'!D146</f>
        <v>шт</v>
      </c>
      <c r="E172" s="170">
        <f>'таланты+инициативы0,28'!D261</f>
        <v>0.28000000000000003</v>
      </c>
    </row>
    <row r="173" spans="1:5" ht="12" customHeight="1" x14ac:dyDescent="0.25">
      <c r="A173" s="719"/>
      <c r="B173" s="720"/>
      <c r="C173" s="112" t="str">
        <f>'натур показатели патриотика'!C147</f>
        <v>саморез</v>
      </c>
      <c r="D173" s="67" t="str">
        <f>'натур показатели патриотика'!D147</f>
        <v>шт</v>
      </c>
      <c r="E173" s="170">
        <f>'таланты+инициативы0,28'!D262</f>
        <v>14.000000000000002</v>
      </c>
    </row>
    <row r="174" spans="1:5" ht="12" customHeight="1" x14ac:dyDescent="0.25">
      <c r="A174" s="719"/>
      <c r="B174" s="720"/>
      <c r="C174" s="112" t="str">
        <f>'натур показатели патриотика'!C148</f>
        <v>лопата</v>
      </c>
      <c r="D174" s="67" t="str">
        <f>'натур показатели патриотика'!D148</f>
        <v>шт</v>
      </c>
      <c r="E174" s="170">
        <f>'таланты+инициативы0,28'!D263</f>
        <v>0.56000000000000005</v>
      </c>
    </row>
    <row r="175" spans="1:5" ht="12" customHeight="1" x14ac:dyDescent="0.25">
      <c r="A175" s="719"/>
      <c r="B175" s="720"/>
      <c r="C175" s="112" t="str">
        <f>'натур показатели патриотика'!C149</f>
        <v>черенок</v>
      </c>
      <c r="D175" s="67" t="str">
        <f>'натур показатели патриотика'!D149</f>
        <v>шт</v>
      </c>
      <c r="E175" s="170">
        <f>'таланты+инициативы0,28'!D264</f>
        <v>0.56000000000000005</v>
      </c>
    </row>
    <row r="176" spans="1:5" ht="12" customHeight="1" x14ac:dyDescent="0.25">
      <c r="A176" s="719"/>
      <c r="B176" s="720"/>
      <c r="C176" s="112" t="str">
        <f>'натур показатели патриотика'!C150</f>
        <v>домкрат</v>
      </c>
      <c r="D176" s="67" t="str">
        <f>'натур показатели патриотика'!D150</f>
        <v>шт</v>
      </c>
      <c r="E176" s="170">
        <f>'таланты+инициативы0,28'!D265</f>
        <v>0.28000000000000003</v>
      </c>
    </row>
    <row r="177" spans="1:5" ht="12" customHeight="1" x14ac:dyDescent="0.25">
      <c r="A177" s="719"/>
      <c r="B177" s="720"/>
      <c r="C177" s="112" t="str">
        <f>'натур показатели патриотика'!C151</f>
        <v>стяжка</v>
      </c>
      <c r="D177" s="67" t="str">
        <f>'натур показатели патриотика'!D151</f>
        <v>шт</v>
      </c>
      <c r="E177" s="170">
        <f>'таланты+инициативы0,28'!D266</f>
        <v>0.28000000000000003</v>
      </c>
    </row>
    <row r="178" spans="1:5" ht="12" customHeight="1" x14ac:dyDescent="0.25">
      <c r="A178" s="719"/>
      <c r="B178" s="720"/>
      <c r="C178" s="112" t="str">
        <f>'натур показатели патриотика'!C152</f>
        <v>смазка</v>
      </c>
      <c r="D178" s="67" t="str">
        <f>'натур показатели патриотика'!D152</f>
        <v>шт</v>
      </c>
      <c r="E178" s="170">
        <f>'таланты+инициативы0,28'!D267</f>
        <v>0.28000000000000003</v>
      </c>
    </row>
    <row r="179" spans="1:5" ht="12" customHeight="1" x14ac:dyDescent="0.25">
      <c r="A179" s="719"/>
      <c r="B179" s="720"/>
      <c r="C179" s="112" t="str">
        <f>'натур показатели патриотика'!C153</f>
        <v>лопата</v>
      </c>
      <c r="D179" s="67" t="str">
        <f>'натур показатели патриотика'!D153</f>
        <v>шт</v>
      </c>
      <c r="E179" s="170">
        <f>'таланты+инициативы0,28'!D268</f>
        <v>0.28000000000000003</v>
      </c>
    </row>
    <row r="180" spans="1:5" ht="12" customHeight="1" x14ac:dyDescent="0.25">
      <c r="A180" s="719"/>
      <c r="B180" s="720"/>
      <c r="C180" s="112" t="str">
        <f>'натур показатели патриотика'!C154</f>
        <v>ключи</v>
      </c>
      <c r="D180" s="67" t="str">
        <f>'натур показатели патриотика'!D154</f>
        <v>шт</v>
      </c>
      <c r="E180" s="170">
        <f>'таланты+инициативы0,28'!D269</f>
        <v>0.28000000000000003</v>
      </c>
    </row>
    <row r="181" spans="1:5" ht="12" customHeight="1" x14ac:dyDescent="0.25">
      <c r="A181" s="719"/>
      <c r="B181" s="720"/>
      <c r="C181" s="112" t="str">
        <f>'натур показатели патриотика'!C155</f>
        <v>болт</v>
      </c>
      <c r="D181" s="67" t="str">
        <f>'натур показатели патриотика'!D155</f>
        <v>шт</v>
      </c>
      <c r="E181" s="170">
        <f>'таланты+инициативы0,28'!D270</f>
        <v>1.1200000000000001</v>
      </c>
    </row>
    <row r="182" spans="1:5" ht="12" customHeight="1" x14ac:dyDescent="0.25">
      <c r="A182" s="719"/>
      <c r="B182" s="720"/>
      <c r="C182" s="112" t="str">
        <f>'натур показатели патриотика'!C156</f>
        <v>гайка</v>
      </c>
      <c r="D182" s="67" t="str">
        <f>'натур показатели патриотика'!D156</f>
        <v>шт</v>
      </c>
      <c r="E182" s="170">
        <f>'таланты+инициативы0,28'!D271</f>
        <v>1.1200000000000001</v>
      </c>
    </row>
    <row r="183" spans="1:5" ht="12" customHeight="1" x14ac:dyDescent="0.25">
      <c r="A183" s="719"/>
      <c r="B183" s="720"/>
      <c r="C183" s="112" t="str">
        <f>'натур показатели патриотика'!C157</f>
        <v>эмаль аэрозоль</v>
      </c>
      <c r="D183" s="67" t="str">
        <f>'натур показатели патриотика'!D157</f>
        <v>шт</v>
      </c>
      <c r="E183" s="170">
        <f>'таланты+инициативы0,28'!D272</f>
        <v>0.84000000000000008</v>
      </c>
    </row>
    <row r="184" spans="1:5" ht="12" customHeight="1" x14ac:dyDescent="0.25">
      <c r="A184" s="719"/>
      <c r="B184" s="720"/>
      <c r="C184" s="112" t="str">
        <f>'натур показатели патриотика'!C158</f>
        <v>бумага нажд</v>
      </c>
      <c r="D184" s="67" t="str">
        <f>'натур показатели патриотика'!D158</f>
        <v>шт</v>
      </c>
      <c r="E184" s="170">
        <f>'таланты+инициативы0,28'!D273</f>
        <v>5.6000000000000005</v>
      </c>
    </row>
    <row r="185" spans="1:5" ht="12" customHeight="1" x14ac:dyDescent="0.25">
      <c r="A185" s="719"/>
      <c r="B185" s="720"/>
      <c r="C185" s="112" t="str">
        <f>'натур показатели патриотика'!C159</f>
        <v>круг отрезной</v>
      </c>
      <c r="D185" s="67" t="str">
        <f>'натур показатели патриотика'!D159</f>
        <v>шт</v>
      </c>
      <c r="E185" s="170">
        <f>'таланты+инициативы0,28'!D274</f>
        <v>2.8000000000000003</v>
      </c>
    </row>
    <row r="186" spans="1:5" ht="12" customHeight="1" x14ac:dyDescent="0.25">
      <c r="A186" s="719"/>
      <c r="B186" s="720"/>
      <c r="C186" s="112" t="str">
        <f>'натур показатели патриотика'!C160</f>
        <v>герметик</v>
      </c>
      <c r="D186" s="67" t="str">
        <f>'натур показатели патриотика'!D160</f>
        <v>шт</v>
      </c>
      <c r="E186" s="170">
        <f>'таланты+инициативы0,28'!D275</f>
        <v>0.28000000000000003</v>
      </c>
    </row>
    <row r="187" spans="1:5" ht="12" customHeight="1" x14ac:dyDescent="0.25">
      <c r="A187" s="719"/>
      <c r="B187" s="720"/>
      <c r="C187" s="112" t="str">
        <f>'натур показатели патриотика'!C161</f>
        <v>кенгуру</v>
      </c>
      <c r="D187" s="67" t="str">
        <f>'натур показатели патриотика'!D161</f>
        <v>шт</v>
      </c>
      <c r="E187" s="170">
        <f>'таланты+инициативы0,28'!D276</f>
        <v>0.56000000000000005</v>
      </c>
    </row>
    <row r="188" spans="1:5" ht="12" customHeight="1" x14ac:dyDescent="0.25">
      <c r="A188" s="719"/>
      <c r="B188" s="720"/>
      <c r="C188" s="112" t="str">
        <f>'натур показатели патриотика'!C162</f>
        <v>цемент 50 кг</v>
      </c>
      <c r="D188" s="67" t="str">
        <f>'натур показатели патриотика'!D162</f>
        <v>шт</v>
      </c>
      <c r="E188" s="170">
        <f>'таланты+инициативы0,28'!D277</f>
        <v>0.56000000000000005</v>
      </c>
    </row>
    <row r="189" spans="1:5" ht="12" customHeight="1" x14ac:dyDescent="0.25">
      <c r="A189" s="719"/>
      <c r="B189" s="720"/>
      <c r="C189" s="112" t="str">
        <f>'натур показатели патриотика'!C163</f>
        <v>эмаль аэрозоль</v>
      </c>
      <c r="D189" s="67" t="str">
        <f>'натур показатели патриотика'!D163</f>
        <v>шт</v>
      </c>
      <c r="E189" s="170">
        <f>'таланты+инициативы0,28'!D278</f>
        <v>1.4000000000000001</v>
      </c>
    </row>
    <row r="190" spans="1:5" ht="12" customHeight="1" x14ac:dyDescent="0.25">
      <c r="A190" s="719"/>
      <c r="B190" s="720"/>
      <c r="C190" s="112" t="str">
        <f>'натур показатели патриотика'!C164</f>
        <v>эмаль аэрозоль</v>
      </c>
      <c r="D190" s="67" t="str">
        <f>'натур показатели патриотика'!D164</f>
        <v>шт</v>
      </c>
      <c r="E190" s="170">
        <f>'таланты+инициативы0,28'!D279</f>
        <v>1.4000000000000001</v>
      </c>
    </row>
    <row r="191" spans="1:5" ht="12" customHeight="1" x14ac:dyDescent="0.25">
      <c r="A191" s="719"/>
      <c r="B191" s="720"/>
      <c r="C191" s="112" t="str">
        <f>'натур показатели патриотика'!C165</f>
        <v>рукав резина</v>
      </c>
      <c r="D191" s="67" t="str">
        <f>'натур показатели патриотика'!D165</f>
        <v>шт</v>
      </c>
      <c r="E191" s="170">
        <f>'таланты+инициативы0,28'!D280</f>
        <v>1.6800000000000002</v>
      </c>
    </row>
    <row r="192" spans="1:5" ht="12" customHeight="1" x14ac:dyDescent="0.25">
      <c r="A192" s="719"/>
      <c r="B192" s="720"/>
      <c r="C192" s="112" t="str">
        <f>'натур показатели патриотика'!C166</f>
        <v>лампа</v>
      </c>
      <c r="D192" s="67" t="str">
        <f>'натур показатели патриотика'!D166</f>
        <v>шт</v>
      </c>
      <c r="E192" s="170">
        <f>'таланты+инициативы0,28'!D281</f>
        <v>1.4000000000000001</v>
      </c>
    </row>
    <row r="193" spans="1:5" ht="12" customHeight="1" x14ac:dyDescent="0.25">
      <c r="A193" s="719"/>
      <c r="B193" s="720"/>
      <c r="C193" s="112" t="str">
        <f>'натур показатели патриотика'!C167</f>
        <v>лампа энергосберегающая</v>
      </c>
      <c r="D193" s="67" t="str">
        <f>'натур показатели патриотика'!D167</f>
        <v>шт</v>
      </c>
      <c r="E193" s="170">
        <f>'таланты+инициативы0,28'!D282</f>
        <v>0.28000000000000003</v>
      </c>
    </row>
    <row r="194" spans="1:5" ht="12" customHeight="1" x14ac:dyDescent="0.25">
      <c r="A194" s="719"/>
      <c r="B194" s="720"/>
      <c r="C194" s="112" t="str">
        <f>'натур показатели патриотика'!C168</f>
        <v>антифриз</v>
      </c>
      <c r="D194" s="67" t="str">
        <f>'натур показатели патриотика'!D168</f>
        <v>шт</v>
      </c>
      <c r="E194" s="170">
        <f>'таланты+инициативы0,28'!D283</f>
        <v>0.28000000000000003</v>
      </c>
    </row>
    <row r="195" spans="1:5" ht="12" customHeight="1" x14ac:dyDescent="0.25">
      <c r="A195" s="719"/>
      <c r="B195" s="720"/>
      <c r="C195" s="112" t="str">
        <f>'натур показатели патриотика'!C169</f>
        <v>коврик автомобильный</v>
      </c>
      <c r="D195" s="67" t="str">
        <f>'натур показатели патриотика'!D169</f>
        <v>шт</v>
      </c>
      <c r="E195" s="170">
        <f>'таланты+инициативы0,28'!D284</f>
        <v>0.28000000000000003</v>
      </c>
    </row>
    <row r="196" spans="1:5" ht="12" customHeight="1" x14ac:dyDescent="0.25">
      <c r="A196" s="719"/>
      <c r="B196" s="720"/>
      <c r="C196" s="112" t="str">
        <f>'натур показатели патриотика'!C170</f>
        <v>краска акрил</v>
      </c>
      <c r="D196" s="67" t="str">
        <f>'натур показатели патриотика'!D170</f>
        <v>шт</v>
      </c>
      <c r="E196" s="170">
        <f>'таланты+инициативы0,28'!D285</f>
        <v>0.84000000000000008</v>
      </c>
    </row>
    <row r="197" spans="1:5" ht="12" customHeight="1" x14ac:dyDescent="0.25">
      <c r="A197" s="719"/>
      <c r="B197" s="720"/>
      <c r="C197" s="112" t="str">
        <f>'натур показатели патриотика'!C171</f>
        <v>валик</v>
      </c>
      <c r="D197" s="67" t="str">
        <f>'натур показатели патриотика'!D171</f>
        <v>шт</v>
      </c>
      <c r="E197" s="170">
        <f>'таланты+инициативы0,28'!D286</f>
        <v>1.1200000000000001</v>
      </c>
    </row>
    <row r="198" spans="1:5" ht="12" customHeight="1" x14ac:dyDescent="0.25">
      <c r="A198" s="719"/>
      <c r="B198" s="720"/>
      <c r="C198" s="112" t="str">
        <f>'натур показатели патриотика'!C172</f>
        <v>скотч маляр</v>
      </c>
      <c r="D198" s="67" t="str">
        <f>'натур показатели патриотика'!D172</f>
        <v>шт</v>
      </c>
      <c r="E198" s="170">
        <f>'таланты+инициативы0,28'!D287</f>
        <v>1.4000000000000001</v>
      </c>
    </row>
    <row r="199" spans="1:5" ht="12" customHeight="1" x14ac:dyDescent="0.25">
      <c r="A199" s="719"/>
      <c r="B199" s="720"/>
      <c r="C199" s="112" t="str">
        <f>'натур показатели патриотика'!C173</f>
        <v xml:space="preserve">колер </v>
      </c>
      <c r="D199" s="67" t="str">
        <f>'натур показатели патриотика'!D173</f>
        <v>шт</v>
      </c>
      <c r="E199" s="170">
        <f>'таланты+инициативы0,28'!D288</f>
        <v>1.4000000000000001</v>
      </c>
    </row>
    <row r="200" spans="1:5" ht="12" customHeight="1" x14ac:dyDescent="0.25">
      <c r="A200" s="719"/>
      <c r="B200" s="720"/>
      <c r="C200" s="112" t="str">
        <f>'натур показатели патриотика'!C174</f>
        <v>скотч маляр</v>
      </c>
      <c r="D200" s="67" t="str">
        <f>'натур показатели патриотика'!D174</f>
        <v>шт</v>
      </c>
      <c r="E200" s="170">
        <f>'таланты+инициативы0,28'!D289</f>
        <v>3.08</v>
      </c>
    </row>
    <row r="201" spans="1:5" ht="12" customHeight="1" x14ac:dyDescent="0.25">
      <c r="A201" s="719"/>
      <c r="B201" s="720"/>
      <c r="C201" s="112" t="str">
        <f>'натур показатели патриотика'!C175</f>
        <v>паста колеровочная</v>
      </c>
      <c r="D201" s="67" t="str">
        <f>'натур показатели патриотика'!D175</f>
        <v>шт</v>
      </c>
      <c r="E201" s="170">
        <f>'таланты+инициативы0,28'!D290</f>
        <v>2.8000000000000003</v>
      </c>
    </row>
    <row r="202" spans="1:5" ht="12" customHeight="1" x14ac:dyDescent="0.25">
      <c r="A202" s="719"/>
      <c r="B202" s="720"/>
      <c r="C202" s="112" t="str">
        <f>'натур показатели патриотика'!C176</f>
        <v>колер</v>
      </c>
      <c r="D202" s="67" t="str">
        <f>'натур показатели патриотика'!D176</f>
        <v>шт</v>
      </c>
      <c r="E202" s="170">
        <f>'таланты+инициативы0,28'!D291</f>
        <v>2.2400000000000002</v>
      </c>
    </row>
    <row r="203" spans="1:5" ht="12" customHeight="1" x14ac:dyDescent="0.25">
      <c r="A203" s="719"/>
      <c r="B203" s="720"/>
      <c r="C203" s="112" t="str">
        <f>'натур показатели патриотика'!C177</f>
        <v>краска акрил</v>
      </c>
      <c r="D203" s="67" t="str">
        <f>'натур показатели патриотика'!D177</f>
        <v>шт</v>
      </c>
      <c r="E203" s="170">
        <f>'таланты+инициативы0,28'!D292</f>
        <v>0.28000000000000003</v>
      </c>
    </row>
    <row r="204" spans="1:5" ht="12" customHeight="1" x14ac:dyDescent="0.25">
      <c r="A204" s="719"/>
      <c r="B204" s="720"/>
      <c r="C204" s="112" t="str">
        <f>'натур показатели патриотика'!C178</f>
        <v>насадка на валик</v>
      </c>
      <c r="D204" s="67" t="str">
        <f>'натур показатели патриотика'!D178</f>
        <v>шт</v>
      </c>
      <c r="E204" s="170">
        <f>'таланты+инициативы0,28'!D293</f>
        <v>1.1200000000000001</v>
      </c>
    </row>
    <row r="205" spans="1:5" ht="12" customHeight="1" x14ac:dyDescent="0.25">
      <c r="A205" s="719"/>
      <c r="B205" s="720"/>
      <c r="C205" s="112" t="str">
        <f>'натур показатели патриотика'!C179</f>
        <v>HDMI кабель 5м</v>
      </c>
      <c r="D205" s="67" t="str">
        <f>'натур показатели патриотика'!D179</f>
        <v>шт</v>
      </c>
      <c r="E205" s="170">
        <f>'таланты+инициативы0,28'!D294</f>
        <v>0.28000000000000003</v>
      </c>
    </row>
    <row r="206" spans="1:5" ht="12" customHeight="1" x14ac:dyDescent="0.25">
      <c r="A206" s="719"/>
      <c r="B206" s="720"/>
      <c r="C206" s="112" t="str">
        <f>'натур показатели патриотика'!C180</f>
        <v>HDMI кабель 10м</v>
      </c>
      <c r="D206" s="67" t="str">
        <f>'натур показатели патриотика'!D180</f>
        <v>шт</v>
      </c>
      <c r="E206" s="170">
        <f>'таланты+инициативы0,28'!D295</f>
        <v>0.28000000000000003</v>
      </c>
    </row>
    <row r="207" spans="1:5" ht="12" customHeight="1" x14ac:dyDescent="0.25">
      <c r="A207" s="719"/>
      <c r="B207" s="720"/>
      <c r="C207" s="112" t="str">
        <f>'натур показатели патриотика'!C181</f>
        <v>сумка для ноутбука</v>
      </c>
      <c r="D207" s="67" t="str">
        <f>'натур показатели патриотика'!D181</f>
        <v>шт</v>
      </c>
      <c r="E207" s="170">
        <f>'таланты+инициативы0,28'!D296</f>
        <v>0.84000000000000008</v>
      </c>
    </row>
    <row r="208" spans="1:5" ht="12" customHeight="1" x14ac:dyDescent="0.25">
      <c r="A208" s="719"/>
      <c r="B208" s="720"/>
      <c r="C208" s="112" t="str">
        <f>'натур показатели патриотика'!C182</f>
        <v>флеш карта</v>
      </c>
      <c r="D208" s="67" t="str">
        <f>'натур показатели патриотика'!D182</f>
        <v>шт</v>
      </c>
      <c r="E208" s="170">
        <f>'таланты+инициативы0,28'!D297</f>
        <v>1.6800000000000002</v>
      </c>
    </row>
    <row r="209" spans="1:5" ht="12" customHeight="1" x14ac:dyDescent="0.25">
      <c r="A209" s="719"/>
      <c r="B209" s="720"/>
      <c r="C209" s="112" t="str">
        <f>'натур показатели патриотика'!C183</f>
        <v>кулер для процессора</v>
      </c>
      <c r="D209" s="67" t="str">
        <f>'натур показатели патриотика'!D183</f>
        <v>шт</v>
      </c>
      <c r="E209" s="170">
        <f>'таланты+инициативы0,28'!D298</f>
        <v>0.28000000000000003</v>
      </c>
    </row>
    <row r="210" spans="1:5" ht="12" customHeight="1" x14ac:dyDescent="0.25">
      <c r="A210" s="719"/>
      <c r="B210" s="720"/>
      <c r="C210" s="112" t="str">
        <f>'натур показатели патриотика'!C184</f>
        <v>блок питания</v>
      </c>
      <c r="D210" s="67" t="str">
        <f>'натур показатели патриотика'!D184</f>
        <v>шт</v>
      </c>
      <c r="E210" s="170">
        <f>'таланты+инициативы0,28'!D299</f>
        <v>0.28000000000000003</v>
      </c>
    </row>
    <row r="211" spans="1:5" ht="12" customHeight="1" x14ac:dyDescent="0.25">
      <c r="A211" s="719"/>
      <c r="B211" s="720"/>
      <c r="C211" s="112" t="str">
        <f>'натур показатели патриотика'!C185</f>
        <v>клавиатура</v>
      </c>
      <c r="D211" s="67" t="str">
        <f>'натур показатели патриотика'!D185</f>
        <v>шт</v>
      </c>
      <c r="E211" s="170">
        <f>'таланты+инициативы0,28'!D300</f>
        <v>0.84000000000000008</v>
      </c>
    </row>
    <row r="212" spans="1:5" ht="12" customHeight="1" x14ac:dyDescent="0.25">
      <c r="A212" s="719"/>
      <c r="B212" s="720"/>
      <c r="C212" s="112" t="str">
        <f>'натур показатели патриотика'!C186</f>
        <v>снеговая лопата</v>
      </c>
      <c r="D212" s="67" t="str">
        <f>'натур показатели патриотика'!D186</f>
        <v>шт</v>
      </c>
      <c r="E212" s="170">
        <f>'таланты+инициативы0,28'!D301</f>
        <v>0.28000000000000003</v>
      </c>
    </row>
    <row r="213" spans="1:5" x14ac:dyDescent="0.25">
      <c r="A213" s="719"/>
      <c r="B213" s="720"/>
      <c r="C213" s="112" t="str">
        <f>'натур показатели патриотика'!C187</f>
        <v>уголок</v>
      </c>
      <c r="D213" s="67" t="str">
        <f>'натур показатели патриотика'!D187</f>
        <v>шт</v>
      </c>
      <c r="E213" s="170">
        <f>'таланты+инициативы0,28'!D302</f>
        <v>5.6000000000000005</v>
      </c>
    </row>
    <row r="214" spans="1:5" x14ac:dyDescent="0.25">
      <c r="A214" s="719"/>
      <c r="B214" s="720"/>
      <c r="C214" s="112" t="str">
        <f>'натур показатели патриотика'!C188</f>
        <v>перчатки</v>
      </c>
      <c r="D214" s="67" t="str">
        <f>'натур показатели патриотика'!D188</f>
        <v>шт</v>
      </c>
      <c r="E214" s="170">
        <f>'таланты+инициативы0,28'!D303</f>
        <v>0.28000000000000003</v>
      </c>
    </row>
    <row r="215" spans="1:5" x14ac:dyDescent="0.25">
      <c r="A215" s="719"/>
      <c r="B215" s="720"/>
      <c r="C215" s="112" t="str">
        <f>'натур показатели патриотика'!C189</f>
        <v>шпатель</v>
      </c>
      <c r="D215" s="67" t="str">
        <f>'натур показатели патриотика'!D189</f>
        <v>шт</v>
      </c>
      <c r="E215" s="170">
        <f>'таланты+инициативы0,28'!D304</f>
        <v>0.28000000000000003</v>
      </c>
    </row>
    <row r="216" spans="1:5" x14ac:dyDescent="0.25">
      <c r="A216" s="719"/>
      <c r="B216" s="720"/>
      <c r="C216" s="112" t="str">
        <f>'натур показатели патриотика'!C190</f>
        <v>шпатлевка</v>
      </c>
      <c r="D216" s="67" t="str">
        <f>'натур показатели патриотика'!D190</f>
        <v>шт</v>
      </c>
      <c r="E216" s="170">
        <f>'таланты+инициативы0,28'!D305</f>
        <v>0.28000000000000003</v>
      </c>
    </row>
    <row r="217" spans="1:5" x14ac:dyDescent="0.25">
      <c r="A217" s="719"/>
      <c r="B217" s="720"/>
      <c r="C217" s="112" t="str">
        <f>'натур показатели патриотика'!C191</f>
        <v>алебастр</v>
      </c>
      <c r="D217" s="67" t="str">
        <f>'натур показатели патриотика'!D191</f>
        <v>шт</v>
      </c>
      <c r="E217" s="170">
        <f>'таланты+инициативы0,28'!D306</f>
        <v>0.28000000000000003</v>
      </c>
    </row>
    <row r="218" spans="1:5" x14ac:dyDescent="0.25">
      <c r="A218" s="719"/>
      <c r="B218" s="720"/>
      <c r="C218" s="112" t="str">
        <f>'натур показатели патриотика'!C192</f>
        <v>кран шаровый</v>
      </c>
      <c r="D218" s="67" t="str">
        <f>'натур показатели патриотика'!D192</f>
        <v>шт</v>
      </c>
      <c r="E218" s="170">
        <f>'таланты+инициативы0,28'!D307</f>
        <v>1.6800000000000002</v>
      </c>
    </row>
    <row r="219" spans="1:5" x14ac:dyDescent="0.25">
      <c r="A219" s="719"/>
      <c r="B219" s="720"/>
      <c r="C219" s="112" t="str">
        <f>'натур показатели патриотика'!C193</f>
        <v>мешок зеленый</v>
      </c>
      <c r="D219" s="67" t="str">
        <f>'натур показатели патриотика'!D193</f>
        <v>шт</v>
      </c>
      <c r="E219" s="170">
        <f>'таланты+инициативы0,28'!D308</f>
        <v>14.000000000000002</v>
      </c>
    </row>
    <row r="220" spans="1:5" x14ac:dyDescent="0.25">
      <c r="A220" s="719"/>
      <c r="B220" s="720"/>
      <c r="C220" s="112" t="str">
        <f>'натур показатели патриотика'!C194</f>
        <v>настольная игра "тараканьи бега"</v>
      </c>
      <c r="D220" s="67" t="str">
        <f>'натур показатели патриотика'!D194</f>
        <v>шт</v>
      </c>
      <c r="E220" s="170">
        <f>'таланты+инициативы0,28'!D309</f>
        <v>0.28000000000000003</v>
      </c>
    </row>
    <row r="221" spans="1:5" x14ac:dyDescent="0.25">
      <c r="A221" s="719"/>
      <c r="B221" s="720"/>
      <c r="C221" s="112" t="str">
        <f>'натур показатели патриотика'!C195</f>
        <v>настольная игра "Свинтус"</v>
      </c>
      <c r="D221" s="67" t="str">
        <f>'натур показатели патриотика'!D195</f>
        <v>шт</v>
      </c>
      <c r="E221" s="170">
        <f>'таланты+инициативы0,28'!D310</f>
        <v>0.28000000000000003</v>
      </c>
    </row>
    <row r="222" spans="1:5" x14ac:dyDescent="0.25">
      <c r="A222" s="719"/>
      <c r="B222" s="720"/>
      <c r="C222" s="112" t="str">
        <f>'натур показатели патриотика'!C196</f>
        <v>настольная игра "мафия"</v>
      </c>
      <c r="D222" s="67" t="str">
        <f>'натур показатели патриотика'!D196</f>
        <v>шт</v>
      </c>
      <c r="E222" s="170">
        <f>'таланты+инициативы0,28'!D311</f>
        <v>0.28000000000000003</v>
      </c>
    </row>
    <row r="223" spans="1:5" x14ac:dyDescent="0.25">
      <c r="A223" s="719"/>
      <c r="B223" s="720"/>
      <c r="C223" s="112" t="str">
        <f>'натур показатели патриотика'!C197</f>
        <v>мыло жидкое</v>
      </c>
      <c r="D223" s="67" t="str">
        <f>'натур показатели патриотика'!D197</f>
        <v>шт</v>
      </c>
      <c r="E223" s="170">
        <f>'таланты+инициативы0,28'!D312</f>
        <v>0.84000000000000008</v>
      </c>
    </row>
    <row r="224" spans="1:5" x14ac:dyDescent="0.25">
      <c r="A224" s="719"/>
      <c r="B224" s="720"/>
      <c r="C224" s="112" t="str">
        <f>'натур показатели патриотика'!C198</f>
        <v>насадка на швабру</v>
      </c>
      <c r="D224" s="67" t="str">
        <f>'натур показатели патриотика'!D198</f>
        <v>шт</v>
      </c>
      <c r="E224" s="170">
        <f>'таланты+инициативы0,28'!D313</f>
        <v>2.8000000000000003</v>
      </c>
    </row>
    <row r="225" spans="1:5" x14ac:dyDescent="0.25">
      <c r="A225" s="719"/>
      <c r="B225" s="720"/>
      <c r="C225" s="112" t="str">
        <f>'натур показатели патриотика'!C199</f>
        <v>ведро пластик</v>
      </c>
      <c r="D225" s="67" t="str">
        <f>'натур показатели патриотика'!D199</f>
        <v>шт</v>
      </c>
      <c r="E225" s="170">
        <f>'таланты+инициативы0,28'!D314</f>
        <v>0.56000000000000005</v>
      </c>
    </row>
    <row r="226" spans="1:5" x14ac:dyDescent="0.25">
      <c r="A226" s="719"/>
      <c r="B226" s="720"/>
      <c r="C226" s="112" t="str">
        <f>'натур показатели патриотика'!C200</f>
        <v>туал бумага</v>
      </c>
      <c r="D226" s="67" t="str">
        <f>'натур показатели патриотика'!D200</f>
        <v>шт</v>
      </c>
      <c r="E226" s="170">
        <f>'таланты+инициативы0,28'!D315</f>
        <v>14.000000000000002</v>
      </c>
    </row>
    <row r="227" spans="1:5" x14ac:dyDescent="0.25">
      <c r="A227" s="719"/>
      <c r="B227" s="720"/>
      <c r="C227" s="112" t="str">
        <f>'натур показатели патриотика'!C201</f>
        <v>кнопки силовые</v>
      </c>
      <c r="D227" s="67" t="str">
        <f>'натур показатели патриотика'!D201</f>
        <v>шт</v>
      </c>
      <c r="E227" s="170">
        <f>'таланты+инициативы0,28'!D316</f>
        <v>22.400000000000002</v>
      </c>
    </row>
    <row r="228" spans="1:5" x14ac:dyDescent="0.25">
      <c r="A228" s="719"/>
      <c r="B228" s="720"/>
      <c r="C228" s="112" t="str">
        <f>'натур показатели патриотика'!C202</f>
        <v>канц нож</v>
      </c>
      <c r="D228" s="67" t="str">
        <f>'натур показатели патриотика'!D202</f>
        <v>шт</v>
      </c>
      <c r="E228" s="170">
        <f>'таланты+инициативы0,28'!D317</f>
        <v>2.8000000000000003</v>
      </c>
    </row>
    <row r="229" spans="1:5" x14ac:dyDescent="0.25">
      <c r="A229" s="719"/>
      <c r="B229" s="720"/>
      <c r="C229" s="112" t="str">
        <f>'натур показатели патриотика'!C203</f>
        <v>нож для хобби</v>
      </c>
      <c r="D229" s="67" t="str">
        <f>'натур показатели патриотика'!D203</f>
        <v>шт</v>
      </c>
      <c r="E229" s="170">
        <f>'таланты+инициативы0,28'!D318</f>
        <v>1.4000000000000001</v>
      </c>
    </row>
    <row r="230" spans="1:5" x14ac:dyDescent="0.25">
      <c r="A230" s="719"/>
      <c r="B230" s="720"/>
      <c r="C230" s="112" t="str">
        <f>'натур показатели патриотика'!C204</f>
        <v>магниты для доски (уп 9 шт)</v>
      </c>
      <c r="D230" s="67" t="str">
        <f>'натур показатели патриотика'!D204</f>
        <v>шт</v>
      </c>
      <c r="E230" s="170">
        <f>'таланты+инициативы0,28'!D319</f>
        <v>1.4000000000000001</v>
      </c>
    </row>
    <row r="231" spans="1:5" x14ac:dyDescent="0.25">
      <c r="A231" s="719"/>
      <c r="B231" s="720"/>
      <c r="C231" s="112" t="str">
        <f>'натур показатели патриотика'!C205</f>
        <v>ежедневник</v>
      </c>
      <c r="D231" s="67" t="str">
        <f>'натур показатели патриотика'!D205</f>
        <v>шт</v>
      </c>
      <c r="E231" s="170">
        <f>'таланты+инициативы0,28'!D320</f>
        <v>1.4000000000000001</v>
      </c>
    </row>
    <row r="232" spans="1:5" x14ac:dyDescent="0.25">
      <c r="A232" s="719"/>
      <c r="B232" s="720"/>
      <c r="C232" s="112" t="str">
        <f>'натур показатели патриотика'!C206</f>
        <v>ср-во для стекол</v>
      </c>
      <c r="D232" s="67" t="str">
        <f>'натур показатели патриотика'!D206</f>
        <v>шт</v>
      </c>
      <c r="E232" s="170">
        <f>'таланты+инициативы0,28'!D321</f>
        <v>0.56000000000000005</v>
      </c>
    </row>
    <row r="233" spans="1:5" x14ac:dyDescent="0.25">
      <c r="A233" s="719"/>
      <c r="B233" s="720"/>
      <c r="C233" s="112" t="str">
        <f>'натур показатели патриотика'!C207</f>
        <v>пемолюкс</v>
      </c>
      <c r="D233" s="67" t="str">
        <f>'натур показатели патриотика'!D207</f>
        <v>шт</v>
      </c>
      <c r="E233" s="170">
        <f>'таланты+инициативы0,28'!D322</f>
        <v>2.8000000000000003</v>
      </c>
    </row>
    <row r="234" spans="1:5" x14ac:dyDescent="0.25">
      <c r="A234" s="719"/>
      <c r="B234" s="720"/>
      <c r="C234" s="112" t="str">
        <f>'натур показатели патриотика'!C208</f>
        <v>доместос</v>
      </c>
      <c r="D234" s="67" t="str">
        <f>'натур показатели патриотика'!D208</f>
        <v>шт</v>
      </c>
      <c r="E234" s="170">
        <f>'таланты+инициативы0,28'!D323</f>
        <v>1.1200000000000001</v>
      </c>
    </row>
    <row r="235" spans="1:5" x14ac:dyDescent="0.25">
      <c r="A235" s="719"/>
      <c r="B235" s="720"/>
      <c r="C235" s="112" t="str">
        <f>'натур показатели патриотика'!C209</f>
        <v>маркер</v>
      </c>
      <c r="D235" s="67" t="str">
        <f>'натур показатели патриотика'!D209</f>
        <v>шт</v>
      </c>
      <c r="E235" s="170">
        <f>'таланты+инициативы0,28'!D324</f>
        <v>8.4</v>
      </c>
    </row>
    <row r="236" spans="1:5" x14ac:dyDescent="0.25">
      <c r="A236" s="719"/>
      <c r="B236" s="720"/>
      <c r="C236" s="112" t="str">
        <f>'натур показатели патриотика'!C210</f>
        <v>тал блок освеж</v>
      </c>
      <c r="D236" s="67" t="str">
        <f>'натур показатели патриотика'!D210</f>
        <v>шт</v>
      </c>
      <c r="E236" s="170">
        <f>'таланты+инициативы0,28'!D325</f>
        <v>2.8000000000000003</v>
      </c>
    </row>
    <row r="237" spans="1:5" x14ac:dyDescent="0.25">
      <c r="A237" s="719"/>
      <c r="B237" s="720"/>
      <c r="C237" s="112" t="str">
        <f>'натур показатели патриотика'!C211</f>
        <v>футболка-поло белая с логотипом, мужская</v>
      </c>
      <c r="D237" s="67" t="str">
        <f>'натур показатели патриотика'!D211</f>
        <v>шт</v>
      </c>
      <c r="E237" s="170">
        <f>'таланты+инициативы0,28'!D326</f>
        <v>1.1200000000000001</v>
      </c>
    </row>
    <row r="238" spans="1:5" x14ac:dyDescent="0.25">
      <c r="A238" s="719"/>
      <c r="B238" s="720"/>
      <c r="C238" s="112" t="str">
        <f>'натур показатели патриотика'!C212</f>
        <v>футболка-поло белая с логотипом, женская</v>
      </c>
      <c r="D238" s="67" t="str">
        <f>'натур показатели патриотика'!D212</f>
        <v>шт</v>
      </c>
      <c r="E238" s="170">
        <f>'таланты+инициативы0,28'!D327</f>
        <v>2.5200000000000005</v>
      </c>
    </row>
    <row r="239" spans="1:5" x14ac:dyDescent="0.25">
      <c r="A239" s="719"/>
      <c r="B239" s="720"/>
      <c r="C239" s="112" t="str">
        <f>'натур показатели патриотика'!C213</f>
        <v>радиатор медный</v>
      </c>
      <c r="D239" s="67" t="str">
        <f>'натур показатели патриотика'!D213</f>
        <v>шт</v>
      </c>
      <c r="E239" s="170">
        <f>'таланты+инициативы0,28'!D328</f>
        <v>0.28000000000000003</v>
      </c>
    </row>
    <row r="240" spans="1:5" x14ac:dyDescent="0.25">
      <c r="A240" s="719"/>
      <c r="B240" s="720"/>
      <c r="C240" s="112" t="str">
        <f>'натур показатели патриотика'!C214</f>
        <v>гидротолкатель клапана</v>
      </c>
      <c r="D240" s="67" t="str">
        <f>'натур показатели патриотика'!D214</f>
        <v>шт</v>
      </c>
      <c r="E240" s="170">
        <f>'таланты+инициативы0,28'!D329</f>
        <v>0.56000000000000005</v>
      </c>
    </row>
    <row r="241" spans="1:5" ht="22.5" customHeight="1" x14ac:dyDescent="0.25">
      <c r="A241" s="719"/>
      <c r="B241" s="720"/>
      <c r="C241" s="112" t="str">
        <f>'натур показатели патриотика'!C215</f>
        <v>маслосъемные колпачки (16 шт)</v>
      </c>
      <c r="D241" s="67" t="str">
        <f>'натур показатели патриотика'!D215</f>
        <v>шт</v>
      </c>
      <c r="E241" s="170">
        <f>'таланты+инициативы0,28'!D330</f>
        <v>0.28000000000000003</v>
      </c>
    </row>
    <row r="242" spans="1:5" x14ac:dyDescent="0.25">
      <c r="A242" s="719"/>
      <c r="B242" s="720"/>
      <c r="C242" s="112" t="str">
        <f>'натур показатели патриотика'!C216</f>
        <v>к-т ГРМ (полный)</v>
      </c>
      <c r="D242" s="67" t="str">
        <f>'натур показатели патриотика'!D216</f>
        <v>шт</v>
      </c>
      <c r="E242" s="170">
        <f>'таланты+инициативы0,28'!D331</f>
        <v>0.28000000000000003</v>
      </c>
    </row>
    <row r="243" spans="1:5" x14ac:dyDescent="0.25">
      <c r="A243" s="719"/>
      <c r="B243" s="720"/>
      <c r="C243" s="112" t="str">
        <f>'натур показатели патриотика'!C217</f>
        <v>фланец упорный распредвала</v>
      </c>
      <c r="D243" s="67" t="str">
        <f>'натур показатели патриотика'!D217</f>
        <v>шт</v>
      </c>
      <c r="E243" s="170">
        <f>'таланты+инициативы0,28'!D332</f>
        <v>0.56000000000000005</v>
      </c>
    </row>
    <row r="244" spans="1:5" x14ac:dyDescent="0.25">
      <c r="A244" s="719"/>
      <c r="B244" s="720"/>
      <c r="C244" s="112" t="str">
        <f>'натур показатели патриотика'!C218</f>
        <v>гидронатяжитель цепи</v>
      </c>
      <c r="D244" s="67" t="str">
        <f>'натур показатели патриотика'!D218</f>
        <v>шт</v>
      </c>
      <c r="E244" s="170">
        <f>'таланты+инициативы0,28'!D333</f>
        <v>0.56000000000000005</v>
      </c>
    </row>
    <row r="245" spans="1:5" x14ac:dyDescent="0.25">
      <c r="A245" s="719"/>
      <c r="B245" s="720"/>
      <c r="C245" s="112" t="str">
        <f>'натур показатели патриотика'!C219</f>
        <v>прокладка головки блока</v>
      </c>
      <c r="D245" s="67" t="str">
        <f>'натур показатели патриотика'!D219</f>
        <v>шт</v>
      </c>
      <c r="E245" s="170">
        <f>'таланты+инициативы0,28'!D334</f>
        <v>0.28000000000000003</v>
      </c>
    </row>
    <row r="246" spans="1:5" x14ac:dyDescent="0.25">
      <c r="A246" s="719"/>
      <c r="B246" s="720"/>
      <c r="C246" s="112" t="str">
        <f>'натур показатели патриотика'!C220</f>
        <v>к-т прокладок на дв.4091</v>
      </c>
      <c r="D246" s="67" t="str">
        <f>'натур показатели патриотика'!D220</f>
        <v>шт</v>
      </c>
      <c r="E246" s="170">
        <f>'таланты+инициативы0,28'!D335</f>
        <v>0.28000000000000003</v>
      </c>
    </row>
    <row r="247" spans="1:5" x14ac:dyDescent="0.25">
      <c r="A247" s="719"/>
      <c r="B247" s="720"/>
      <c r="C247" s="112" t="str">
        <f>'натур показатели патриотика'!C221</f>
        <v>dextron iv</v>
      </c>
      <c r="D247" s="67" t="str">
        <f>'натур показатели патриотика'!D221</f>
        <v>шт</v>
      </c>
      <c r="E247" s="170">
        <f>'таланты+инициативы0,28'!D336</f>
        <v>0.28000000000000003</v>
      </c>
    </row>
    <row r="248" spans="1:5" x14ac:dyDescent="0.25">
      <c r="A248" s="719"/>
      <c r="B248" s="720"/>
      <c r="C248" s="112" t="str">
        <f>'натур показатели патриотика'!C222</f>
        <v>смазка (шрус)</v>
      </c>
      <c r="D248" s="67" t="str">
        <f>'натур показатели патриотика'!D222</f>
        <v>шт</v>
      </c>
      <c r="E248" s="170">
        <f>'таланты+инициативы0,28'!D337</f>
        <v>1.4000000000000001</v>
      </c>
    </row>
    <row r="249" spans="1:5" x14ac:dyDescent="0.25">
      <c r="A249" s="719"/>
      <c r="B249" s="720"/>
      <c r="C249" s="112" t="str">
        <f>'натур показатели патриотика'!C223</f>
        <v>смазка литол-24</v>
      </c>
      <c r="D249" s="67" t="str">
        <f>'натур показатели патриотика'!D223</f>
        <v>шт</v>
      </c>
      <c r="E249" s="170">
        <f>'таланты+инициативы0,28'!D338</f>
        <v>1.1200000000000001</v>
      </c>
    </row>
    <row r="250" spans="1:5" x14ac:dyDescent="0.25">
      <c r="A250" s="719"/>
      <c r="B250" s="720"/>
      <c r="C250" s="112" t="str">
        <f>'натур показатели патриотика'!C224</f>
        <v>тормозная жидкость (0,910 кг)</v>
      </c>
      <c r="D250" s="67" t="str">
        <f>'натур показатели патриотика'!D224</f>
        <v>шт</v>
      </c>
      <c r="E250" s="170">
        <f>'таланты+инициативы0,28'!D339</f>
        <v>0.56000000000000005</v>
      </c>
    </row>
    <row r="251" spans="1:5" x14ac:dyDescent="0.25">
      <c r="A251" s="719"/>
      <c r="B251" s="720"/>
      <c r="C251" s="112" t="str">
        <f>'натур показатели патриотика'!C225</f>
        <v>шайба, гайка,сверло</v>
      </c>
      <c r="D251" s="67" t="str">
        <f>'натур показатели патриотика'!D225</f>
        <v>шт</v>
      </c>
      <c r="E251" s="170">
        <f>'таланты+инициативы0,28'!D340</f>
        <v>0.28000000000000003</v>
      </c>
    </row>
    <row r="252" spans="1:5" x14ac:dyDescent="0.25">
      <c r="A252" s="719"/>
      <c r="B252" s="720"/>
      <c r="C252" s="112" t="str">
        <f>'натур показатели патриотика'!C226</f>
        <v>саморез</v>
      </c>
      <c r="D252" s="67" t="str">
        <f>'натур показатели патриотика'!D226</f>
        <v>шт</v>
      </c>
      <c r="E252" s="170">
        <f>'таланты+инициативы0,28'!D341</f>
        <v>8.4</v>
      </c>
    </row>
    <row r="253" spans="1:5" x14ac:dyDescent="0.25">
      <c r="A253" s="719"/>
      <c r="B253" s="720"/>
      <c r="C253" s="112" t="str">
        <f>'натур показатели патриотика'!C227</f>
        <v>брелок</v>
      </c>
      <c r="D253" s="67" t="str">
        <f>'натур показатели патриотика'!D227</f>
        <v>шт</v>
      </c>
      <c r="E253" s="170">
        <f>'таланты+инициативы0,28'!D342</f>
        <v>5.6000000000000005</v>
      </c>
    </row>
    <row r="254" spans="1:5" x14ac:dyDescent="0.25">
      <c r="A254" s="719"/>
      <c r="B254" s="720"/>
      <c r="C254" s="112" t="str">
        <f>'натур показатели патриотика'!C228</f>
        <v>Тарелка опорная ЗУБР "МАСТЕР" пластиковая для УШМ под круг на липучке, d 125 мм, М14</v>
      </c>
      <c r="D254" s="67" t="str">
        <f>'натур показатели патриотика'!D228</f>
        <v>шт</v>
      </c>
      <c r="E254" s="170">
        <f>'таланты+инициативы0,28'!D343</f>
        <v>0.56000000000000005</v>
      </c>
    </row>
    <row r="255" spans="1:5" x14ac:dyDescent="0.25">
      <c r="A255" s="719"/>
      <c r="B255" s="720"/>
      <c r="C255" s="112" t="str">
        <f>'натур показатели патриотика'!C229</f>
        <v>Круг шлифовальный ЗУБР "МАСТЕР"  универс., из абразивной бумаги на велкро основе, б/отверстий, Р320</v>
      </c>
      <c r="D255" s="67" t="str">
        <f>'натур показатели патриотика'!D229</f>
        <v>шт</v>
      </c>
      <c r="E255" s="170">
        <f>'таланты+инициативы0,28'!D344</f>
        <v>0.56000000000000005</v>
      </c>
    </row>
    <row r="256" spans="1:5" x14ac:dyDescent="0.25">
      <c r="A256" s="719"/>
      <c r="B256" s="720"/>
      <c r="C256" s="112" t="str">
        <f>'натур показатели патриотика'!C230</f>
        <v>Круг шлифовальный ЗУБР "МАСТЕР"  универс., из абразивной бумаги на велкро основе, б/отверстий, Р180</v>
      </c>
      <c r="D256" s="67" t="str">
        <f>'натур показатели патриотика'!D230</f>
        <v>шт</v>
      </c>
      <c r="E256" s="170">
        <f>'таланты+инициативы0,28'!D345</f>
        <v>0.56000000000000005</v>
      </c>
    </row>
    <row r="257" spans="1:5" x14ac:dyDescent="0.25">
      <c r="A257" s="719"/>
      <c r="B257" s="720"/>
      <c r="C257" s="112" t="str">
        <f>'натур показатели патриотика'!C231</f>
        <v>Аптечка нового образца "Мицар" 17,5x15x7см ПЛАСТИК</v>
      </c>
      <c r="D257" s="67" t="str">
        <f>'натур показатели патриотика'!D231</f>
        <v>шт</v>
      </c>
      <c r="E257" s="170">
        <f>'таланты+инициативы0,28'!D346</f>
        <v>0.56000000000000005</v>
      </c>
    </row>
    <row r="258" spans="1:5" x14ac:dyDescent="0.25">
      <c r="A258" s="719"/>
      <c r="B258" s="720"/>
      <c r="C258" s="112" t="str">
        <f>'натур показатели патриотика'!C232</f>
        <v>Саморез по гипсокартону, дереву, ДСП черный фосфат 3,5х45 (2000шт.)</v>
      </c>
      <c r="D258" s="67" t="str">
        <f>'натур показатели патриотика'!D232</f>
        <v>шт</v>
      </c>
      <c r="E258" s="170">
        <f>'таланты+инициативы0,28'!D347</f>
        <v>252.00000000000003</v>
      </c>
    </row>
    <row r="259" spans="1:5" x14ac:dyDescent="0.25">
      <c r="A259" s="719"/>
      <c r="B259" s="720"/>
      <c r="C259" s="112" t="str">
        <f>'натур показатели патриотика'!C233</f>
        <v>Саморез по гипсокартону, дереву, ДСП черный фосфат 4,8х102 (400шт.)</v>
      </c>
      <c r="D259" s="67" t="str">
        <f>'натур показатели патриотика'!D233</f>
        <v>шт</v>
      </c>
      <c r="E259" s="170">
        <f>'таланты+инициативы0,28'!D348</f>
        <v>64.400000000000006</v>
      </c>
    </row>
    <row r="260" spans="1:5" x14ac:dyDescent="0.25">
      <c r="A260" s="719"/>
      <c r="B260" s="720"/>
      <c r="C260" s="112" t="str">
        <f>'натур показатели патриотика'!C234</f>
        <v>Уголок крепежный универсальный цинк 100*100*60*2,0мм /50/</v>
      </c>
      <c r="D260" s="67" t="str">
        <f>'натур показатели патриотика'!D234</f>
        <v>шт</v>
      </c>
      <c r="E260" s="170">
        <f>'таланты+инициативы0,28'!D349</f>
        <v>2.2400000000000002</v>
      </c>
    </row>
    <row r="261" spans="1:5" x14ac:dyDescent="0.25">
      <c r="A261" s="719"/>
      <c r="B261" s="720"/>
      <c r="C261" s="112" t="str">
        <f>'натур показатели патриотика'!C235</f>
        <v>Уголок крепежный универсальный цинк 80*80*40*2,0мм /100/</v>
      </c>
      <c r="D261" s="67" t="str">
        <f>'натур показатели патриотика'!D235</f>
        <v>шт</v>
      </c>
      <c r="E261" s="170">
        <f>'таланты+инициативы0,28'!D350</f>
        <v>3.9200000000000004</v>
      </c>
    </row>
    <row r="262" spans="1:5" x14ac:dyDescent="0.25">
      <c r="A262" s="719"/>
      <c r="B262" s="720"/>
      <c r="C262" s="112" t="str">
        <f>'натур показатели патриотика'!C236</f>
        <v>Уголок крепежный универсальный цинк 50*50*60*2,0мм /100/</v>
      </c>
      <c r="D262" s="67" t="str">
        <f>'натур показатели патриотика'!D236</f>
        <v>шт</v>
      </c>
      <c r="E262" s="170">
        <f>'таланты+инициативы0,28'!D351</f>
        <v>5.6000000000000005</v>
      </c>
    </row>
    <row r="263" spans="1:5" x14ac:dyDescent="0.25">
      <c r="A263" s="719"/>
      <c r="B263" s="720"/>
      <c r="C263" s="112" t="str">
        <f>'натур показатели патриотика'!C237</f>
        <v>Пластина крепежная универсальная цинк 200*60*2,0мм /50/</v>
      </c>
      <c r="D263" s="67" t="str">
        <f>'натур показатели патриотика'!D237</f>
        <v>шт</v>
      </c>
      <c r="E263" s="170">
        <f>'таланты+инициативы0,28'!D352</f>
        <v>2.8000000000000003</v>
      </c>
    </row>
    <row r="264" spans="1:5" x14ac:dyDescent="0.25">
      <c r="A264" s="719"/>
      <c r="B264" s="720"/>
      <c r="C264" s="112" t="str">
        <f>'натур показатели патриотика'!C238</f>
        <v>Сверло по металлу 6,0мм ТОМСК 10902В</v>
      </c>
      <c r="D264" s="67" t="str">
        <f>'натур показатели патриотика'!D238</f>
        <v>шт</v>
      </c>
      <c r="E264" s="170">
        <f>'таланты+инициативы0,28'!D353</f>
        <v>0.56000000000000005</v>
      </c>
    </row>
    <row r="265" spans="1:5" x14ac:dyDescent="0.25">
      <c r="A265" s="719"/>
      <c r="B265" s="720"/>
      <c r="C265" s="112" t="str">
        <f>'натур показатели патриотика'!C239</f>
        <v>Биты  ХК RSG 10 шт, РН2 х 70 мм, сталь S2 /120/</v>
      </c>
      <c r="D265" s="67" t="str">
        <f>'натур показатели патриотика'!D239</f>
        <v>шт</v>
      </c>
      <c r="E265" s="170">
        <f>'таланты+инициативы0,28'!D354</f>
        <v>1.1200000000000001</v>
      </c>
    </row>
    <row r="266" spans="1:5" x14ac:dyDescent="0.25">
      <c r="A266" s="719"/>
      <c r="B266" s="720"/>
      <c r="C266" s="112" t="str">
        <f>'натур показатели патриотика'!C240</f>
        <v>Хомут  нейлоновый 2,5х200мм 100шт белый /10/100/</v>
      </c>
      <c r="D266" s="67" t="str">
        <f>'натур показатели патриотика'!D240</f>
        <v>шт</v>
      </c>
      <c r="E266" s="170">
        <f>'таланты+инициативы0,28'!D355</f>
        <v>0.28000000000000003</v>
      </c>
    </row>
    <row r="267" spans="1:5" x14ac:dyDescent="0.25">
      <c r="A267" s="719"/>
      <c r="B267" s="720"/>
      <c r="C267" s="112" t="str">
        <f>'натур показатели патриотика'!C241</f>
        <v>Хомут  нейлоновый 3,6х300мм 100шт белый /10/150/</v>
      </c>
      <c r="D267" s="67" t="str">
        <f>'натур показатели патриотика'!D241</f>
        <v>шт</v>
      </c>
      <c r="E267" s="170">
        <f>'таланты+инициативы0,28'!D356</f>
        <v>0.28000000000000003</v>
      </c>
    </row>
    <row r="268" spans="1:5" x14ac:dyDescent="0.25">
      <c r="A268" s="719"/>
      <c r="B268" s="720"/>
      <c r="C268" s="112" t="str">
        <f>'натур показатели патриотика'!C242</f>
        <v>Набор АНИ с бок подв 1/2 пл кнопка белая  WС8010 /20/</v>
      </c>
      <c r="D268" s="67" t="str">
        <f>'натур показатели патриотика'!D242</f>
        <v>шт</v>
      </c>
      <c r="E268" s="170">
        <f>'таланты+инициативы0,28'!D357</f>
        <v>0.28000000000000003</v>
      </c>
    </row>
    <row r="269" spans="1:5" x14ac:dyDescent="0.25">
      <c r="A269" s="719"/>
      <c r="B269" s="720"/>
      <c r="C269" s="112" t="str">
        <f>'натур показатели патриотика'!C243</f>
        <v>Набор с бок подв АНИ шток пластик эконом  WС4050 /20/</v>
      </c>
      <c r="D269" s="67" t="str">
        <f>'натур показатели патриотика'!D243</f>
        <v>шт</v>
      </c>
      <c r="E269" s="170">
        <f>'таланты+инициативы0,28'!D358</f>
        <v>0.28000000000000003</v>
      </c>
    </row>
    <row r="270" spans="1:5" x14ac:dyDescent="0.25">
      <c r="A270" s="719"/>
      <c r="B270" s="720"/>
      <c r="C270" s="112" t="str">
        <f>'натур показатели патриотика'!C244</f>
        <v>Тройник PPR соединительный 32 Дигор /15/60/</v>
      </c>
      <c r="D270" s="67" t="str">
        <f>'натур показатели патриотика'!D244</f>
        <v>шт</v>
      </c>
      <c r="E270" s="170">
        <f>'таланты+инициативы0,28'!D359</f>
        <v>2.2400000000000002</v>
      </c>
    </row>
    <row r="271" spans="1:5" x14ac:dyDescent="0.25">
      <c r="A271" s="719"/>
      <c r="B271" s="720"/>
      <c r="C271" s="112" t="str">
        <f>'натур показатели патриотика'!C245</f>
        <v>Труба PPR Ду 25  PN 20, SDR 7,4 (4 м) армир. стекловолокном г.Красноярск  /упак. 25шт./</v>
      </c>
      <c r="D271" s="67" t="str">
        <f>'натур показатели патриотика'!D245</f>
        <v>шт</v>
      </c>
      <c r="E271" s="170">
        <f>'таланты+инициативы0,28'!D360</f>
        <v>0.84000000000000008</v>
      </c>
    </row>
    <row r="272" spans="1:5" x14ac:dyDescent="0.25">
      <c r="A272" s="719"/>
      <c r="B272" s="720"/>
      <c r="C272" s="112" t="str">
        <f>'натур показатели патриотика'!C246</f>
        <v>Труба РР PN25 Д-32*5,4 (1") L-4,0м (стекловолокно) (упак. 15 шт.)</v>
      </c>
      <c r="D272" s="67" t="str">
        <f>'натур показатели патриотика'!D246</f>
        <v>шт</v>
      </c>
      <c r="E272" s="170">
        <f>'таланты+инициативы0,28'!D361</f>
        <v>0.28000000000000003</v>
      </c>
    </row>
    <row r="273" spans="1:5" x14ac:dyDescent="0.25">
      <c r="A273" s="719"/>
      <c r="B273" s="720"/>
      <c r="C273" s="112" t="str">
        <f>'натур показатели патриотика'!C247</f>
        <v>Изоляция для труб холодной воды 42/9мм, 2м /10/</v>
      </c>
      <c r="D273" s="67" t="str">
        <f>'натур показатели патриотика'!D247</f>
        <v>шт</v>
      </c>
      <c r="E273" s="170">
        <f>'таланты+инициативы0,28'!D362</f>
        <v>1.4000000000000001</v>
      </c>
    </row>
    <row r="274" spans="1:5" x14ac:dyDescent="0.25">
      <c r="A274" s="719"/>
      <c r="B274" s="720"/>
      <c r="C274" s="112" t="str">
        <f>'натур показатели патриотика'!C248</f>
        <v>Изодом НПЭ Л 10мм (1,0х25 п.м)</v>
      </c>
      <c r="D274" s="67" t="str">
        <f>'натур показатели патриотика'!D248</f>
        <v>шт</v>
      </c>
      <c r="E274" s="170">
        <f>'таланты+инициативы0,28'!D363</f>
        <v>0.56000000000000005</v>
      </c>
    </row>
    <row r="275" spans="1:5" x14ac:dyDescent="0.25">
      <c r="A275" s="719"/>
      <c r="B275" s="720"/>
      <c r="C275" s="112" t="str">
        <f>'натур показатели патриотика'!C249</f>
        <v>Лента серпянка сетка строительная самокл. Стелс 45мм.*45м. /63/</v>
      </c>
      <c r="D275" s="67" t="str">
        <f>'натур показатели патриотика'!D249</f>
        <v>шт</v>
      </c>
      <c r="E275" s="170">
        <f>'таланты+инициативы0,28'!D364</f>
        <v>1.4000000000000001</v>
      </c>
    </row>
    <row r="276" spans="1:5" x14ac:dyDescent="0.25">
      <c r="A276" s="719"/>
      <c r="B276" s="720"/>
      <c r="C276" s="112" t="str">
        <f>'натур показатели патриотика'!C250</f>
        <v>Клей Cosmofen СА-12  20гр /флакон прозр.  /20/</v>
      </c>
      <c r="D276" s="67" t="str">
        <f>'натур показатели патриотика'!D250</f>
        <v>шт</v>
      </c>
      <c r="E276" s="170">
        <f>'таланты+инициативы0,28'!D365</f>
        <v>0.28000000000000003</v>
      </c>
    </row>
    <row r="277" spans="1:5" x14ac:dyDescent="0.25">
      <c r="A277" s="719"/>
      <c r="B277" s="720"/>
      <c r="C277" s="112" t="str">
        <f>'натур показатели патриотика'!C251</f>
        <v>Сверло ЗУБР "МАСТЕР" по бетону ударное, 6х150мм</v>
      </c>
      <c r="D277" s="67" t="str">
        <f>'натур показатели патриотика'!D251</f>
        <v>шт</v>
      </c>
      <c r="E277" s="170">
        <f>'таланты+инициативы0,28'!D366</f>
        <v>0.28000000000000003</v>
      </c>
    </row>
    <row r="278" spans="1:5" x14ac:dyDescent="0.25">
      <c r="A278" s="719"/>
      <c r="B278" s="720"/>
      <c r="C278" s="112" t="str">
        <f>'натур показатели патриотика'!C252</f>
        <v>Сверло ЗУБР "СУПЕР-6" по бетону ударное, шестигранный хвостовик, 4x75мм</v>
      </c>
      <c r="D278" s="67" t="str">
        <f>'натур показатели патриотика'!D252</f>
        <v>шт</v>
      </c>
      <c r="E278" s="170">
        <f>'таланты+инициативы0,28'!D367</f>
        <v>0.28000000000000003</v>
      </c>
    </row>
    <row r="279" spans="1:5" x14ac:dyDescent="0.25">
      <c r="A279" s="719"/>
      <c r="B279" s="720"/>
      <c r="C279" s="112" t="str">
        <f>'натур показатели патриотика'!C253</f>
        <v>Профиль потолочный А-3 2,0м в сборе (М) (10)</v>
      </c>
      <c r="D279" s="67" t="str">
        <f>'натур показатели патриотика'!D253</f>
        <v>шт</v>
      </c>
      <c r="E279" s="170">
        <f>'таланты+инициативы0,28'!D368</f>
        <v>0.28000000000000003</v>
      </c>
    </row>
    <row r="280" spans="1:5" x14ac:dyDescent="0.25">
      <c r="A280" s="719"/>
      <c r="B280" s="720"/>
      <c r="C280" s="112" t="str">
        <f>'натур показатели патриотика'!C254</f>
        <v>Клеёнка силиконовая Dekorelle 1,20*20м прозрачная (толщина 0,8мм)</v>
      </c>
      <c r="D280" s="67" t="str">
        <f>'натур показатели патриотика'!D254</f>
        <v>шт</v>
      </c>
      <c r="E280" s="170">
        <f>'таланты+инициативы0,28'!D369</f>
        <v>0.33600000000000002</v>
      </c>
    </row>
    <row r="281" spans="1:5" x14ac:dyDescent="0.25">
      <c r="A281" s="719"/>
      <c r="B281" s="720"/>
      <c r="C281" s="112" t="str">
        <f>'натур показатели патриотика'!C255</f>
        <v>антифриз УАЗ</v>
      </c>
      <c r="D281" s="67" t="str">
        <f>'натур показатели патриотика'!D255</f>
        <v>шт</v>
      </c>
      <c r="E281" s="170">
        <f>'таланты+инициативы0,28'!D370</f>
        <v>0.56000000000000005</v>
      </c>
    </row>
    <row r="282" spans="1:5" x14ac:dyDescent="0.25">
      <c r="A282" s="719"/>
      <c r="B282" s="720"/>
      <c r="C282" s="112" t="str">
        <f>'натур показатели патриотика'!C256</f>
        <v>ГСМ УАЗ (Масло двигатель)</v>
      </c>
      <c r="D282" s="67" t="str">
        <f>'натур показатели патриотика'!D256</f>
        <v>шт</v>
      </c>
      <c r="E282" s="170">
        <f>'таланты+инициативы0,28'!D371</f>
        <v>2.2400000000000002</v>
      </c>
    </row>
    <row r="283" spans="1:5" x14ac:dyDescent="0.25">
      <c r="A283" s="719"/>
      <c r="B283" s="720"/>
      <c r="C283" s="112" t="str">
        <f>'натур показатели патриотика'!C257</f>
        <v>ГСМ Бензин</v>
      </c>
      <c r="D283" s="67" t="str">
        <f>'натур показатели патриотика'!D257</f>
        <v>шт</v>
      </c>
      <c r="E283" s="170">
        <f>'таланты+инициативы0,28'!D372</f>
        <v>840.00000000000011</v>
      </c>
    </row>
    <row r="284" spans="1:5" x14ac:dyDescent="0.25">
      <c r="A284" s="719"/>
      <c r="B284" s="720"/>
      <c r="C284" s="112" t="str">
        <f>'натур показатели патриотика'!C258</f>
        <v>перчатки нитриловые L</v>
      </c>
      <c r="D284" s="67" t="str">
        <f>'натур показатели патриотика'!D258</f>
        <v>шт</v>
      </c>
      <c r="E284" s="170">
        <f>'таланты+инициативы0,28'!D373</f>
        <v>224.00000000000003</v>
      </c>
    </row>
    <row r="285" spans="1:5" x14ac:dyDescent="0.25">
      <c r="A285" s="719"/>
      <c r="B285" s="720"/>
      <c r="C285" s="112" t="str">
        <f>'натур показатели патриотика'!C259</f>
        <v>перчатки нитриловые М</v>
      </c>
      <c r="D285" s="67" t="str">
        <f>'натур показатели патриотика'!D259</f>
        <v>шт</v>
      </c>
      <c r="E285" s="170">
        <f>'таланты+инициативы0,28'!D374</f>
        <v>224.00000000000003</v>
      </c>
    </row>
    <row r="286" spans="1:5" x14ac:dyDescent="0.25">
      <c r="A286" s="719"/>
      <c r="B286" s="720"/>
      <c r="C286" s="112" t="str">
        <f>'натур показатели патриотика'!C260</f>
        <v>маска мед одноразовая</v>
      </c>
      <c r="D286" s="67" t="str">
        <f>'натур показатели патриотика'!D260</f>
        <v>шт</v>
      </c>
      <c r="E286" s="170">
        <f>'таланты+инициативы0,28'!D375</f>
        <v>280</v>
      </c>
    </row>
    <row r="287" spans="1:5" x14ac:dyDescent="0.25">
      <c r="A287" s="719"/>
      <c r="B287" s="720"/>
      <c r="C287" s="112" t="str">
        <f>'натур показатели патриотика'!C261</f>
        <v>скреппер волокуша для снега</v>
      </c>
      <c r="D287" s="67" t="str">
        <f>'натур показатели патриотика'!D261</f>
        <v>шт</v>
      </c>
      <c r="E287" s="170">
        <f>'таланты+инициативы0,28'!D376</f>
        <v>0.28000000000000003</v>
      </c>
    </row>
    <row r="288" spans="1:5" x14ac:dyDescent="0.25">
      <c r="A288" s="719"/>
      <c r="B288" s="720"/>
      <c r="C288" s="112" t="str">
        <f>'натур показатели патриотика'!C262</f>
        <v>мультиДез 1л</v>
      </c>
      <c r="D288" s="67" t="str">
        <f>'натур показатели патриотика'!D262</f>
        <v>шт</v>
      </c>
      <c r="E288" s="170">
        <f>'таланты+инициативы0,28'!D377</f>
        <v>2.8000000000000003</v>
      </c>
    </row>
    <row r="289" spans="1:5" x14ac:dyDescent="0.25">
      <c r="A289" s="719"/>
      <c r="B289" s="720"/>
      <c r="C289" s="112" t="str">
        <f>'натур показатели патриотика'!C263</f>
        <v>Мульти ДезТефлекс 0,5</v>
      </c>
      <c r="D289" s="67" t="str">
        <f>'натур показатели патриотика'!D263</f>
        <v>шт</v>
      </c>
      <c r="E289" s="170">
        <f>'таланты+инициативы0,28'!D378</f>
        <v>1.1200000000000001</v>
      </c>
    </row>
    <row r="290" spans="1:5" x14ac:dyDescent="0.25">
      <c r="A290" s="719"/>
      <c r="B290" s="720"/>
    </row>
    <row r="291" spans="1:5" x14ac:dyDescent="0.25">
      <c r="A291" s="719"/>
      <c r="B291" s="720"/>
    </row>
  </sheetData>
  <mergeCells count="18">
    <mergeCell ref="D1:E1"/>
    <mergeCell ref="A3:E3"/>
    <mergeCell ref="A4:E4"/>
    <mergeCell ref="C7:E7"/>
    <mergeCell ref="C8:E8"/>
    <mergeCell ref="C111:E111"/>
    <mergeCell ref="C119:E119"/>
    <mergeCell ref="C124:E124"/>
    <mergeCell ref="C126:E126"/>
    <mergeCell ref="A7:A291"/>
    <mergeCell ref="B7:B291"/>
    <mergeCell ref="C11:E11"/>
    <mergeCell ref="C15:E15"/>
    <mergeCell ref="C76:E76"/>
    <mergeCell ref="C130:E130"/>
    <mergeCell ref="C132:E132"/>
    <mergeCell ref="C77:E77"/>
    <mergeCell ref="C84:E84"/>
  </mergeCells>
  <pageMargins left="0.19685039370078741" right="0.11811023622047245" top="0.23622047244094491" bottom="0.74803149606299213" header="0.31496062992125984" footer="0.31496062992125984"/>
  <pageSetup paperSize="9" scale="33" fitToHeight="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381"/>
  <sheetViews>
    <sheetView tabSelected="1" zoomScale="90" zoomScaleNormal="90" zoomScaleSheetLayoutView="85" zoomScalePageLayoutView="70" workbookViewId="0">
      <selection activeCell="F379" sqref="A1:I379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21" t="str">
        <f>'патриотика0,31'!A1</f>
        <v>Учреждение: Муниципальное бюджетное учреждение  «Молодежный центр » Северо- Енисейского района</v>
      </c>
      <c r="B1" s="721"/>
      <c r="C1" s="721"/>
      <c r="D1" s="721"/>
      <c r="E1" s="721"/>
      <c r="F1" s="721"/>
      <c r="G1" s="721"/>
      <c r="H1" s="721"/>
      <c r="I1" s="721"/>
    </row>
    <row r="2" spans="1:9" ht="16.5" x14ac:dyDescent="0.25">
      <c r="A2" s="431" t="s">
        <v>547</v>
      </c>
      <c r="B2" s="431"/>
      <c r="C2" s="431"/>
      <c r="D2" s="431"/>
      <c r="E2" s="431"/>
      <c r="F2" s="431"/>
      <c r="G2" s="431"/>
      <c r="H2" s="431"/>
      <c r="I2" s="431"/>
    </row>
    <row r="3" spans="1:9" ht="58.15" customHeight="1" x14ac:dyDescent="0.25">
      <c r="A3" s="85" t="s">
        <v>218</v>
      </c>
      <c r="B3" s="722" t="s">
        <v>129</v>
      </c>
      <c r="C3" s="722"/>
      <c r="D3" s="722"/>
      <c r="E3" s="722"/>
      <c r="F3" s="722"/>
      <c r="G3" s="722"/>
      <c r="H3" s="722"/>
      <c r="I3" s="722"/>
    </row>
    <row r="4" spans="1:9" ht="15.75" x14ac:dyDescent="0.25">
      <c r="A4" s="698" t="s">
        <v>52</v>
      </c>
      <c r="B4" s="698"/>
      <c r="C4" s="698"/>
      <c r="D4" s="698"/>
      <c r="E4" s="698"/>
      <c r="F4" s="7"/>
      <c r="G4" s="169"/>
      <c r="H4" s="7"/>
      <c r="I4" s="7"/>
    </row>
    <row r="5" spans="1:9" ht="15.75" x14ac:dyDescent="0.25">
      <c r="A5" s="699" t="s">
        <v>44</v>
      </c>
      <c r="B5" s="699"/>
      <c r="C5" s="699"/>
      <c r="D5" s="699"/>
      <c r="E5" s="699"/>
      <c r="F5" s="7"/>
      <c r="G5" s="169"/>
      <c r="H5" s="7"/>
      <c r="I5" s="7"/>
    </row>
    <row r="6" spans="1:9" ht="15.75" x14ac:dyDescent="0.25">
      <c r="A6" s="699" t="s">
        <v>205</v>
      </c>
      <c r="B6" s="699"/>
      <c r="C6" s="699"/>
      <c r="D6" s="699"/>
      <c r="E6" s="699"/>
      <c r="F6" s="7"/>
      <c r="G6" s="169"/>
      <c r="H6" s="7"/>
      <c r="I6" s="7"/>
    </row>
    <row r="7" spans="1:9" ht="15.75" x14ac:dyDescent="0.25">
      <c r="A7" s="609" t="s">
        <v>222</v>
      </c>
      <c r="B7" s="609"/>
      <c r="C7" s="609"/>
      <c r="D7" s="609"/>
      <c r="E7" s="609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15" t="s">
        <v>10</v>
      </c>
      <c r="E8" s="616"/>
      <c r="F8" s="424" t="s">
        <v>9</v>
      </c>
      <c r="G8" s="169"/>
      <c r="H8" s="7"/>
      <c r="I8" s="7"/>
    </row>
    <row r="9" spans="1:9" ht="15.75" x14ac:dyDescent="0.25">
      <c r="A9" s="102"/>
      <c r="B9" s="418"/>
      <c r="C9" s="418"/>
      <c r="D9" s="617" t="str">
        <f>'инновации+добровольчество0,41'!D10:E10</f>
        <v>Заведующий МЦ</v>
      </c>
      <c r="E9" s="618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418">
        <v>5.6</v>
      </c>
      <c r="C10" s="418"/>
      <c r="D10" s="619" t="str">
        <f>'[1]2016'!$AE$25</f>
        <v>Водитель</v>
      </c>
      <c r="E10" s="620"/>
      <c r="F10" s="418">
        <v>1</v>
      </c>
      <c r="G10" s="169"/>
      <c r="H10" s="7"/>
      <c r="I10" s="7"/>
    </row>
    <row r="11" spans="1:9" ht="15.75" x14ac:dyDescent="0.25">
      <c r="A11" s="68" t="s">
        <v>97</v>
      </c>
      <c r="B11" s="418">
        <v>1</v>
      </c>
      <c r="C11" s="418"/>
      <c r="D11" s="619" t="s">
        <v>91</v>
      </c>
      <c r="E11" s="620"/>
      <c r="F11" s="418">
        <v>0.5</v>
      </c>
      <c r="G11" s="169"/>
      <c r="H11" s="7"/>
      <c r="I11" s="7"/>
    </row>
    <row r="12" spans="1:9" ht="15.75" x14ac:dyDescent="0.25">
      <c r="A12" s="102"/>
      <c r="B12" s="418"/>
      <c r="C12" s="418"/>
      <c r="D12" s="619" t="str">
        <f>'[1]2016'!$AE$26</f>
        <v xml:space="preserve">Уборщик служебных помещений </v>
      </c>
      <c r="E12" s="620"/>
      <c r="F12" s="418">
        <v>1</v>
      </c>
      <c r="G12" s="169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621" t="s">
        <v>59</v>
      </c>
      <c r="E13" s="622"/>
      <c r="F13" s="72">
        <f>SUM(F9:F12)</f>
        <v>3.5</v>
      </c>
      <c r="G13" s="169"/>
      <c r="H13" s="7"/>
      <c r="I13" s="7"/>
    </row>
    <row r="14" spans="1:9" ht="36" customHeight="1" x14ac:dyDescent="0.25">
      <c r="A14" s="680" t="s">
        <v>221</v>
      </c>
      <c r="B14" s="680"/>
      <c r="C14" s="680"/>
      <c r="D14" s="680"/>
      <c r="E14" s="680"/>
      <c r="F14" s="680"/>
      <c r="G14" s="680"/>
      <c r="H14" s="680"/>
      <c r="I14" s="680"/>
    </row>
    <row r="15" spans="1:9" ht="15.75" x14ac:dyDescent="0.25">
      <c r="A15" s="696" t="s">
        <v>223</v>
      </c>
      <c r="B15" s="696"/>
      <c r="C15" s="696"/>
      <c r="D15" s="696"/>
      <c r="E15" s="696"/>
      <c r="F15" s="696"/>
      <c r="G15" s="169"/>
      <c r="H15" s="7"/>
      <c r="I15" s="7"/>
    </row>
    <row r="16" spans="1:9" ht="15.75" x14ac:dyDescent="0.25">
      <c r="A16" s="10" t="s">
        <v>224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697" t="s">
        <v>46</v>
      </c>
      <c r="B17" s="697"/>
      <c r="C17" s="697"/>
      <c r="D17" s="697"/>
      <c r="E17" s="697"/>
      <c r="F17" s="697"/>
      <c r="G17" s="169"/>
      <c r="H17" s="7"/>
      <c r="I17" s="7"/>
    </row>
    <row r="18" spans="1:12" ht="15.75" x14ac:dyDescent="0.25">
      <c r="A18" s="695"/>
      <c r="B18" s="695"/>
      <c r="C18" s="425"/>
      <c r="D18" s="158">
        <v>0.28000000000000003</v>
      </c>
      <c r="E18" s="158"/>
      <c r="F18" s="7"/>
      <c r="G18" s="169"/>
      <c r="H18" s="7"/>
      <c r="I18" s="7"/>
    </row>
    <row r="19" spans="1:12" ht="31.5" x14ac:dyDescent="0.25">
      <c r="A19" s="673" t="s">
        <v>0</v>
      </c>
      <c r="B19" s="673" t="s">
        <v>1</v>
      </c>
      <c r="C19" s="419"/>
      <c r="D19" s="673" t="s">
        <v>2</v>
      </c>
      <c r="E19" s="670" t="s">
        <v>3</v>
      </c>
      <c r="F19" s="672"/>
      <c r="G19" s="723" t="s">
        <v>35</v>
      </c>
      <c r="H19" s="419" t="s">
        <v>5</v>
      </c>
      <c r="I19" s="673" t="s">
        <v>6</v>
      </c>
    </row>
    <row r="20" spans="1:12" ht="15.75" x14ac:dyDescent="0.25">
      <c r="A20" s="673"/>
      <c r="B20" s="673"/>
      <c r="C20" s="419"/>
      <c r="D20" s="673"/>
      <c r="E20" s="419" t="s">
        <v>227</v>
      </c>
      <c r="F20" s="668" t="s">
        <v>191</v>
      </c>
      <c r="G20" s="723"/>
      <c r="H20" s="403" t="s">
        <v>175</v>
      </c>
      <c r="I20" s="673"/>
    </row>
    <row r="21" spans="1:12" ht="15.75" x14ac:dyDescent="0.25">
      <c r="A21" s="673"/>
      <c r="B21" s="673"/>
      <c r="C21" s="419"/>
      <c r="D21" s="673"/>
      <c r="E21" s="419" t="s">
        <v>4</v>
      </c>
      <c r="F21" s="669"/>
      <c r="G21" s="723"/>
      <c r="H21" s="419" t="s">
        <v>228</v>
      </c>
      <c r="I21" s="673"/>
    </row>
    <row r="22" spans="1:12" ht="15.75" x14ac:dyDescent="0.25">
      <c r="A22" s="673">
        <v>1</v>
      </c>
      <c r="B22" s="673">
        <v>2</v>
      </c>
      <c r="C22" s="419"/>
      <c r="D22" s="673">
        <v>3</v>
      </c>
      <c r="E22" s="673" t="s">
        <v>229</v>
      </c>
      <c r="F22" s="673">
        <v>5</v>
      </c>
      <c r="G22" s="591" t="s">
        <v>7</v>
      </c>
      <c r="H22" s="403" t="s">
        <v>176</v>
      </c>
      <c r="I22" s="576" t="s">
        <v>177</v>
      </c>
    </row>
    <row r="23" spans="1:12" ht="15.75" x14ac:dyDescent="0.25">
      <c r="A23" s="673"/>
      <c r="B23" s="673"/>
      <c r="C23" s="419"/>
      <c r="D23" s="673"/>
      <c r="E23" s="673"/>
      <c r="F23" s="673"/>
      <c r="G23" s="591"/>
      <c r="H23" s="54">
        <v>1780.6</v>
      </c>
      <c r="I23" s="576"/>
      <c r="J23" s="182">
        <f>I26+I110</f>
        <v>1950167.7715968001</v>
      </c>
      <c r="K23" s="183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61932.1</v>
      </c>
      <c r="C24" s="86"/>
      <c r="D24" s="419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543.42756958328664</v>
      </c>
      <c r="I24" s="74">
        <f>G24*H24</f>
        <v>270935.59651200008</v>
      </c>
      <c r="J24" s="7">
        <v>1950167.77</v>
      </c>
      <c r="K24" s="182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f>'патриотика0,31'!B25</f>
        <v>44160</v>
      </c>
      <c r="C25" s="181"/>
      <c r="D25" s="419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387.48502751881392</v>
      </c>
      <c r="I25" s="74">
        <f>G25*H25-27922.86</f>
        <v>1053927.8971199999</v>
      </c>
      <c r="J25" s="169">
        <f>J23-J24</f>
        <v>1.5968000516295433E-3</v>
      </c>
      <c r="K25" s="182" t="s">
        <v>121</v>
      </c>
      <c r="L25" s="7"/>
    </row>
    <row r="26" spans="1:12" ht="18.75" x14ac:dyDescent="0.3">
      <c r="A26" s="73" t="s">
        <v>96</v>
      </c>
      <c r="B26" s="77"/>
      <c r="C26" s="77"/>
      <c r="D26" s="419"/>
      <c r="E26" s="74"/>
      <c r="F26" s="75"/>
      <c r="G26" s="189"/>
      <c r="H26" s="162"/>
      <c r="I26" s="384">
        <f>SUM(I24:I25)</f>
        <v>1324863.4936319999</v>
      </c>
      <c r="L26" s="187"/>
    </row>
    <row r="27" spans="1:12" s="7" customFormat="1" ht="16.5" hidden="1" x14ac:dyDescent="0.25">
      <c r="A27" s="593" t="s">
        <v>170</v>
      </c>
      <c r="B27" s="593"/>
      <c r="C27" s="593"/>
      <c r="D27" s="593"/>
      <c r="E27" s="593"/>
      <c r="F27" s="593"/>
      <c r="G27" s="593"/>
      <c r="H27" s="593"/>
      <c r="I27" s="184"/>
      <c r="J27" s="182"/>
      <c r="K27" s="183"/>
    </row>
    <row r="28" spans="1:12" s="7" customFormat="1" ht="16.5" hidden="1" x14ac:dyDescent="0.25">
      <c r="A28" s="594" t="s">
        <v>62</v>
      </c>
      <c r="B28" s="597" t="s">
        <v>159</v>
      </c>
      <c r="C28" s="597"/>
      <c r="D28" s="597" t="s">
        <v>160</v>
      </c>
      <c r="E28" s="597"/>
      <c r="F28" s="597"/>
      <c r="G28" s="674"/>
      <c r="H28" s="674"/>
      <c r="I28" s="184"/>
      <c r="J28" s="182"/>
      <c r="K28" s="183"/>
    </row>
    <row r="29" spans="1:12" s="7" customFormat="1" ht="16.5" hidden="1" x14ac:dyDescent="0.25">
      <c r="A29" s="595"/>
      <c r="B29" s="597"/>
      <c r="C29" s="597"/>
      <c r="D29" s="597" t="s">
        <v>161</v>
      </c>
      <c r="E29" s="594" t="s">
        <v>162</v>
      </c>
      <c r="F29" s="736" t="s">
        <v>163</v>
      </c>
      <c r="G29" s="594" t="s">
        <v>169</v>
      </c>
      <c r="H29" s="594" t="s">
        <v>6</v>
      </c>
      <c r="I29" s="184"/>
      <c r="J29" s="182"/>
      <c r="K29" s="183"/>
    </row>
    <row r="30" spans="1:12" s="7" customFormat="1" ht="16.5" hidden="1" x14ac:dyDescent="0.25">
      <c r="A30" s="596"/>
      <c r="B30" s="597"/>
      <c r="C30" s="597"/>
      <c r="D30" s="597"/>
      <c r="E30" s="596"/>
      <c r="F30" s="736"/>
      <c r="G30" s="596"/>
      <c r="H30" s="596"/>
      <c r="I30" s="184"/>
      <c r="J30" s="182"/>
      <c r="K30" s="183"/>
    </row>
    <row r="31" spans="1:12" s="7" customFormat="1" ht="16.5" hidden="1" x14ac:dyDescent="0.25">
      <c r="A31" s="411">
        <v>1</v>
      </c>
      <c r="B31" s="599">
        <v>2</v>
      </c>
      <c r="C31" s="600"/>
      <c r="D31" s="411">
        <v>3</v>
      </c>
      <c r="E31" s="411">
        <v>4</v>
      </c>
      <c r="F31" s="411">
        <v>5</v>
      </c>
      <c r="G31" s="411">
        <v>6</v>
      </c>
      <c r="H31" s="411">
        <v>7</v>
      </c>
      <c r="I31" s="184"/>
      <c r="J31" s="182"/>
      <c r="K31" s="183"/>
    </row>
    <row r="32" spans="1:12" s="7" customFormat="1" ht="16.5" hidden="1" x14ac:dyDescent="0.25">
      <c r="A32" s="406" t="s">
        <v>97</v>
      </c>
      <c r="B32" s="406">
        <v>0.24</v>
      </c>
      <c r="C32" s="407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406" t="s">
        <v>165</v>
      </c>
      <c r="B33" s="599">
        <f>5.6*0.24</f>
        <v>1.3439999999999999</v>
      </c>
      <c r="C33" s="600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410"/>
      <c r="B34" s="601">
        <f>SUM(B32:C33)</f>
        <v>2.5839999999999996</v>
      </c>
      <c r="C34" s="601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4"/>
      <c r="I34" s="169"/>
    </row>
    <row r="35" spans="1:11" ht="14.45" hidden="1" customHeight="1" x14ac:dyDescent="0.25">
      <c r="A35" s="593" t="s">
        <v>174</v>
      </c>
      <c r="B35" s="593"/>
      <c r="C35" s="593"/>
      <c r="D35" s="593"/>
      <c r="E35" s="593"/>
      <c r="F35" s="593"/>
      <c r="G35" s="593"/>
      <c r="H35" s="593"/>
      <c r="I35" s="153"/>
      <c r="J35" s="153"/>
    </row>
    <row r="36" spans="1:11" ht="28.9" hidden="1" customHeight="1" x14ac:dyDescent="0.25">
      <c r="A36" s="594" t="s">
        <v>62</v>
      </c>
      <c r="B36" s="597" t="s">
        <v>159</v>
      </c>
      <c r="C36" s="597"/>
      <c r="D36" s="612" t="s">
        <v>160</v>
      </c>
      <c r="E36" s="613"/>
      <c r="F36" s="412"/>
      <c r="G36" s="45"/>
    </row>
    <row r="37" spans="1:11" ht="14.45" hidden="1" customHeight="1" x14ac:dyDescent="0.25">
      <c r="A37" s="595"/>
      <c r="B37" s="597"/>
      <c r="C37" s="597"/>
      <c r="D37" s="597" t="s">
        <v>161</v>
      </c>
      <c r="E37" s="594" t="s">
        <v>169</v>
      </c>
      <c r="F37" s="594" t="s">
        <v>173</v>
      </c>
      <c r="G37" s="45"/>
    </row>
    <row r="38" spans="1:11" hidden="1" x14ac:dyDescent="0.25">
      <c r="A38" s="596"/>
      <c r="B38" s="597"/>
      <c r="C38" s="597"/>
      <c r="D38" s="597"/>
      <c r="E38" s="596"/>
      <c r="F38" s="596"/>
      <c r="G38" s="45"/>
    </row>
    <row r="39" spans="1:11" hidden="1" x14ac:dyDescent="0.25">
      <c r="A39" s="411">
        <v>1</v>
      </c>
      <c r="B39" s="599">
        <v>2</v>
      </c>
      <c r="C39" s="600"/>
      <c r="D39" s="411">
        <v>3</v>
      </c>
      <c r="E39" s="411">
        <v>6</v>
      </c>
      <c r="F39" s="411">
        <v>7</v>
      </c>
      <c r="G39" s="45"/>
    </row>
    <row r="40" spans="1:11" hidden="1" x14ac:dyDescent="0.25">
      <c r="A40" s="406" t="s">
        <v>165</v>
      </c>
      <c r="B40" s="599">
        <f>B33</f>
        <v>1.3439999999999999</v>
      </c>
      <c r="C40" s="600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410"/>
      <c r="B41" s="601">
        <f>SUM(B40:C40)</f>
        <v>1.3439999999999999</v>
      </c>
      <c r="C41" s="601"/>
      <c r="D41" s="129">
        <f>SUM(D40:D40)</f>
        <v>4218.1400000000003</v>
      </c>
      <c r="E41" s="129">
        <f>SUM(E40:E40)</f>
        <v>1273.8782800000001</v>
      </c>
      <c r="F41" s="224"/>
      <c r="G41" s="45"/>
    </row>
    <row r="42" spans="1:11" ht="15.75" hidden="1" x14ac:dyDescent="0.25">
      <c r="A42" s="680" t="s">
        <v>61</v>
      </c>
      <c r="B42" s="680"/>
      <c r="C42" s="680"/>
      <c r="D42" s="680"/>
      <c r="E42" s="680"/>
      <c r="F42" s="680"/>
      <c r="G42" s="169"/>
      <c r="H42" s="7"/>
      <c r="I42" s="7"/>
    </row>
    <row r="43" spans="1:11" ht="15.75" hidden="1" x14ac:dyDescent="0.25">
      <c r="A43" s="426" t="s">
        <v>85</v>
      </c>
      <c r="B43" s="6" t="str">
        <f>'инновации+добровольчество0,41'!B48</f>
        <v>5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0.28000000000000003</v>
      </c>
      <c r="E44" s="7"/>
      <c r="F44" s="7"/>
      <c r="G44" s="169"/>
      <c r="H44" s="7"/>
      <c r="I44" s="7"/>
    </row>
    <row r="45" spans="1:11" ht="15.75" hidden="1" x14ac:dyDescent="0.25">
      <c r="A45" s="673" t="s">
        <v>124</v>
      </c>
      <c r="B45" s="673"/>
      <c r="C45" s="419"/>
      <c r="D45" s="673" t="s">
        <v>11</v>
      </c>
      <c r="E45" s="668" t="s">
        <v>49</v>
      </c>
      <c r="F45" s="668" t="s">
        <v>15</v>
      </c>
      <c r="G45" s="727" t="s">
        <v>6</v>
      </c>
      <c r="H45" s="7"/>
      <c r="I45" s="7"/>
    </row>
    <row r="46" spans="1:11" ht="7.15" hidden="1" customHeight="1" x14ac:dyDescent="0.25">
      <c r="A46" s="673"/>
      <c r="B46" s="673"/>
      <c r="C46" s="419"/>
      <c r="D46" s="673"/>
      <c r="E46" s="669"/>
      <c r="F46" s="669"/>
      <c r="G46" s="728"/>
      <c r="H46" s="7"/>
      <c r="I46" s="7"/>
    </row>
    <row r="47" spans="1:11" ht="15.75" hidden="1" x14ac:dyDescent="0.25">
      <c r="A47" s="670">
        <v>1</v>
      </c>
      <c r="B47" s="672"/>
      <c r="C47" s="420"/>
      <c r="D47" s="419">
        <v>2</v>
      </c>
      <c r="E47" s="325">
        <v>3</v>
      </c>
      <c r="F47" s="419">
        <v>4</v>
      </c>
      <c r="G47" s="82" t="s">
        <v>70</v>
      </c>
      <c r="H47" s="7"/>
      <c r="I47" s="7"/>
    </row>
    <row r="48" spans="1:11" ht="15.75" hidden="1" x14ac:dyDescent="0.25">
      <c r="A48" s="675" t="str">
        <f>'инновации+добровольчество0,41'!A53</f>
        <v>Суточные</v>
      </c>
      <c r="B48" s="676"/>
      <c r="C48" s="422"/>
      <c r="D48" s="419" t="str">
        <f>'инновации+добровольчество0,41'!D53</f>
        <v>сутки</v>
      </c>
      <c r="E48" s="432">
        <f>D44</f>
        <v>0.28000000000000003</v>
      </c>
      <c r="F48" s="432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75" t="str">
        <f>'инновации+добровольчество0,41'!A54</f>
        <v>Проезд</v>
      </c>
      <c r="B49" s="676"/>
      <c r="C49" s="422"/>
      <c r="D49" s="419" t="str">
        <f>'инновации+добровольчество0,41'!D54</f>
        <v xml:space="preserve">Ед. </v>
      </c>
      <c r="E49" s="432">
        <f>D44</f>
        <v>0.28000000000000003</v>
      </c>
      <c r="F49" s="432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0"/>
    </row>
    <row r="50" spans="1:12" ht="15.75" hidden="1" x14ac:dyDescent="0.25">
      <c r="A50" s="675" t="str">
        <f>'инновации+добровольчество0,41'!A55</f>
        <v xml:space="preserve">Проживание </v>
      </c>
      <c r="B50" s="676"/>
      <c r="C50" s="422"/>
      <c r="D50" s="419" t="str">
        <f>'инновации+добровольчество0,41'!D55</f>
        <v>сутки</v>
      </c>
      <c r="E50" s="432">
        <f>D44</f>
        <v>0.28000000000000003</v>
      </c>
      <c r="F50" s="432">
        <f>'инновации+добровольчество0,41'!F55</f>
        <v>1509</v>
      </c>
      <c r="G50" s="82">
        <f t="shared" si="1"/>
        <v>422.52000000000004</v>
      </c>
      <c r="H50" s="7"/>
      <c r="I50" s="7"/>
      <c r="L50" s="190"/>
    </row>
    <row r="51" spans="1:12" ht="15.75" hidden="1" x14ac:dyDescent="0.25">
      <c r="A51" s="421" t="e">
        <f>'инновации+добровольчество0,41'!#REF!</f>
        <v>#REF!</v>
      </c>
      <c r="B51" s="422"/>
      <c r="C51" s="422"/>
      <c r="D51" s="419" t="e">
        <f>'инновации+добровольчество0,41'!#REF!</f>
        <v>#REF!</v>
      </c>
      <c r="E51" s="432">
        <f>D44</f>
        <v>0.28000000000000003</v>
      </c>
      <c r="F51" s="432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677" t="s">
        <v>60</v>
      </c>
      <c r="B52" s="678"/>
      <c r="C52" s="427"/>
      <c r="D52" s="79"/>
      <c r="E52" s="79"/>
      <c r="F52" s="79"/>
      <c r="G52" s="451" t="e">
        <f>SUM(G48:G51)</f>
        <v>#REF!</v>
      </c>
      <c r="H52" s="7"/>
      <c r="I52" s="7"/>
      <c r="L52" s="187"/>
    </row>
    <row r="53" spans="1:12" ht="15.75" x14ac:dyDescent="0.25">
      <c r="A53" s="680" t="s">
        <v>128</v>
      </c>
      <c r="B53" s="680"/>
      <c r="C53" s="680"/>
      <c r="D53" s="680"/>
      <c r="E53" s="680"/>
      <c r="F53" s="680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673" t="s">
        <v>124</v>
      </c>
      <c r="B55" s="673"/>
      <c r="C55" s="419"/>
      <c r="D55" s="673" t="s">
        <v>11</v>
      </c>
      <c r="E55" s="668" t="s">
        <v>49</v>
      </c>
      <c r="F55" s="668" t="s">
        <v>15</v>
      </c>
      <c r="G55" s="727" t="s">
        <v>6</v>
      </c>
      <c r="H55" s="7"/>
      <c r="I55" s="7"/>
    </row>
    <row r="56" spans="1:12" ht="13.9" customHeight="1" x14ac:dyDescent="0.25">
      <c r="A56" s="673"/>
      <c r="B56" s="673"/>
      <c r="C56" s="419"/>
      <c r="D56" s="673"/>
      <c r="E56" s="669"/>
      <c r="F56" s="669"/>
      <c r="G56" s="728"/>
      <c r="H56" s="7"/>
      <c r="I56" s="7"/>
    </row>
    <row r="57" spans="1:12" ht="15.75" x14ac:dyDescent="0.25">
      <c r="A57" s="670">
        <v>1</v>
      </c>
      <c r="B57" s="672"/>
      <c r="C57" s="420"/>
      <c r="D57" s="419">
        <v>2</v>
      </c>
      <c r="E57" s="419">
        <v>3</v>
      </c>
      <c r="F57" s="419">
        <v>4</v>
      </c>
      <c r="G57" s="82" t="s">
        <v>70</v>
      </c>
      <c r="H57" s="7"/>
      <c r="I57" s="7"/>
    </row>
    <row r="58" spans="1:12" ht="25.5" x14ac:dyDescent="0.25">
      <c r="A58" s="240" t="s">
        <v>521</v>
      </c>
      <c r="B58" s="470"/>
      <c r="C58" s="470"/>
      <c r="D58" s="471"/>
      <c r="E58" s="99"/>
      <c r="F58" s="100"/>
      <c r="G58" s="82"/>
      <c r="H58" s="7"/>
      <c r="I58" s="7"/>
    </row>
    <row r="59" spans="1:12" ht="15.75" x14ac:dyDescent="0.25">
      <c r="A59" s="94" t="s">
        <v>522</v>
      </c>
      <c r="B59" s="470"/>
      <c r="C59" s="470"/>
      <c r="D59" s="471"/>
      <c r="E59" s="99">
        <v>2</v>
      </c>
      <c r="F59" s="100">
        <v>2500</v>
      </c>
      <c r="G59" s="82">
        <f>E59*F59</f>
        <v>5000</v>
      </c>
      <c r="H59" s="7"/>
      <c r="I59" s="7"/>
    </row>
    <row r="60" spans="1:12" ht="15.75" x14ac:dyDescent="0.25">
      <c r="A60" s="94" t="s">
        <v>523</v>
      </c>
      <c r="B60" s="470"/>
      <c r="C60" s="470"/>
      <c r="D60" s="471"/>
      <c r="E60" s="99">
        <v>4</v>
      </c>
      <c r="F60" s="100">
        <v>900</v>
      </c>
      <c r="G60" s="82">
        <f t="shared" ref="G60:G86" si="2">E60*F60</f>
        <v>3600</v>
      </c>
      <c r="H60" s="7"/>
      <c r="I60" s="7"/>
    </row>
    <row r="61" spans="1:12" ht="15.75" x14ac:dyDescent="0.25">
      <c r="A61" s="94" t="s">
        <v>524</v>
      </c>
      <c r="B61" s="470"/>
      <c r="C61" s="470"/>
      <c r="D61" s="471"/>
      <c r="E61" s="99">
        <v>10</v>
      </c>
      <c r="F61" s="100">
        <v>206</v>
      </c>
      <c r="G61" s="82">
        <f t="shared" si="2"/>
        <v>2060</v>
      </c>
      <c r="H61" s="7"/>
      <c r="I61" s="7"/>
    </row>
    <row r="62" spans="1:12" ht="15.75" x14ac:dyDescent="0.25">
      <c r="A62" s="507" t="s">
        <v>525</v>
      </c>
      <c r="B62" s="470"/>
      <c r="C62" s="470"/>
      <c r="D62" s="471"/>
      <c r="E62" s="336">
        <v>2</v>
      </c>
      <c r="F62" s="337">
        <v>4500</v>
      </c>
      <c r="G62" s="82">
        <f t="shared" si="2"/>
        <v>9000</v>
      </c>
      <c r="H62" s="7"/>
      <c r="I62" s="7"/>
    </row>
    <row r="63" spans="1:12" ht="15.75" x14ac:dyDescent="0.25">
      <c r="A63" s="507" t="s">
        <v>526</v>
      </c>
      <c r="B63" s="470"/>
      <c r="C63" s="470"/>
      <c r="D63" s="471"/>
      <c r="E63" s="336">
        <v>3</v>
      </c>
      <c r="F63" s="337">
        <v>6600</v>
      </c>
      <c r="G63" s="82">
        <f t="shared" si="2"/>
        <v>19800</v>
      </c>
      <c r="H63" s="7"/>
      <c r="I63" s="7"/>
    </row>
    <row r="64" spans="1:12" ht="15.75" x14ac:dyDescent="0.25">
      <c r="A64" s="507" t="s">
        <v>527</v>
      </c>
      <c r="B64" s="470"/>
      <c r="C64" s="470"/>
      <c r="D64" s="471"/>
      <c r="E64" s="336">
        <v>2</v>
      </c>
      <c r="F64" s="337">
        <v>871.5</v>
      </c>
      <c r="G64" s="82">
        <f t="shared" si="2"/>
        <v>1743</v>
      </c>
      <c r="H64" s="7"/>
      <c r="I64" s="7"/>
    </row>
    <row r="65" spans="1:9" ht="15.75" x14ac:dyDescent="0.25">
      <c r="A65" s="507" t="s">
        <v>528</v>
      </c>
      <c r="B65" s="470"/>
      <c r="C65" s="470"/>
      <c r="D65" s="471"/>
      <c r="E65" s="336">
        <v>1200</v>
      </c>
      <c r="F65" s="337">
        <v>35</v>
      </c>
      <c r="G65" s="82">
        <f t="shared" si="2"/>
        <v>42000</v>
      </c>
      <c r="H65" s="7"/>
      <c r="I65" s="7"/>
    </row>
    <row r="66" spans="1:9" ht="15.75" x14ac:dyDescent="0.25">
      <c r="A66" s="507" t="s">
        <v>529</v>
      </c>
      <c r="B66" s="470"/>
      <c r="C66" s="470"/>
      <c r="D66" s="471"/>
      <c r="E66" s="336">
        <v>300</v>
      </c>
      <c r="F66" s="337">
        <v>30</v>
      </c>
      <c r="G66" s="82">
        <f t="shared" si="2"/>
        <v>9000</v>
      </c>
      <c r="H66" s="7"/>
      <c r="I66" s="7"/>
    </row>
    <row r="67" spans="1:9" ht="15.75" x14ac:dyDescent="0.25">
      <c r="A67" s="507" t="s">
        <v>327</v>
      </c>
      <c r="B67" s="470"/>
      <c r="C67" s="470"/>
      <c r="D67" s="471"/>
      <c r="E67" s="336">
        <v>5</v>
      </c>
      <c r="F67" s="337">
        <v>400</v>
      </c>
      <c r="G67" s="82">
        <f t="shared" si="2"/>
        <v>2000</v>
      </c>
      <c r="H67" s="7"/>
      <c r="I67" s="7"/>
    </row>
    <row r="68" spans="1:9" ht="15.75" x14ac:dyDescent="0.25">
      <c r="A68" s="508" t="s">
        <v>530</v>
      </c>
      <c r="B68" s="470"/>
      <c r="C68" s="470"/>
      <c r="D68" s="471"/>
      <c r="E68" s="336">
        <v>20</v>
      </c>
      <c r="F68" s="337">
        <v>600</v>
      </c>
      <c r="G68" s="82">
        <f t="shared" si="2"/>
        <v>12000</v>
      </c>
      <c r="H68" s="7"/>
      <c r="I68" s="7"/>
    </row>
    <row r="69" spans="1:9" ht="26.25" x14ac:dyDescent="0.25">
      <c r="A69" s="509" t="s">
        <v>531</v>
      </c>
      <c r="B69" s="470"/>
      <c r="C69" s="470"/>
      <c r="D69" s="471"/>
      <c r="E69" s="336">
        <v>20</v>
      </c>
      <c r="F69" s="337">
        <v>210</v>
      </c>
      <c r="G69" s="82">
        <f t="shared" si="2"/>
        <v>4200</v>
      </c>
      <c r="H69" s="7"/>
      <c r="I69" s="7"/>
    </row>
    <row r="70" spans="1:9" ht="15.75" x14ac:dyDescent="0.25">
      <c r="A70" s="507" t="s">
        <v>532</v>
      </c>
      <c r="B70" s="470"/>
      <c r="C70" s="470"/>
      <c r="D70" s="471"/>
      <c r="E70" s="336">
        <v>5</v>
      </c>
      <c r="F70" s="337">
        <v>1200</v>
      </c>
      <c r="G70" s="82">
        <f t="shared" si="2"/>
        <v>6000</v>
      </c>
      <c r="H70" s="7"/>
      <c r="I70" s="7"/>
    </row>
    <row r="71" spans="1:9" ht="15.75" x14ac:dyDescent="0.25">
      <c r="A71" s="507" t="s">
        <v>533</v>
      </c>
      <c r="B71" s="470"/>
      <c r="C71" s="470"/>
      <c r="D71" s="471"/>
      <c r="E71" s="336">
        <v>200</v>
      </c>
      <c r="F71" s="337">
        <v>44.6</v>
      </c>
      <c r="G71" s="82">
        <f t="shared" si="2"/>
        <v>8920</v>
      </c>
      <c r="H71" s="7"/>
      <c r="I71" s="7"/>
    </row>
    <row r="72" spans="1:9" ht="15.75" x14ac:dyDescent="0.25">
      <c r="A72" s="507" t="s">
        <v>534</v>
      </c>
      <c r="B72" s="470"/>
      <c r="C72" s="470"/>
      <c r="D72" s="471"/>
      <c r="E72" s="336">
        <v>200</v>
      </c>
      <c r="F72" s="337">
        <v>27.8</v>
      </c>
      <c r="G72" s="82">
        <f t="shared" si="2"/>
        <v>5560</v>
      </c>
      <c r="H72" s="7"/>
      <c r="I72" s="7"/>
    </row>
    <row r="73" spans="1:9" ht="15.75" x14ac:dyDescent="0.25">
      <c r="A73" s="507" t="s">
        <v>535</v>
      </c>
      <c r="B73" s="470"/>
      <c r="C73" s="470"/>
      <c r="D73" s="471"/>
      <c r="E73" s="336">
        <v>10</v>
      </c>
      <c r="F73" s="337">
        <v>761.7</v>
      </c>
      <c r="G73" s="82">
        <f t="shared" si="2"/>
        <v>7617</v>
      </c>
      <c r="H73" s="7"/>
      <c r="I73" s="7"/>
    </row>
    <row r="74" spans="1:9" ht="25.5" x14ac:dyDescent="0.25">
      <c r="A74" s="507" t="s">
        <v>536</v>
      </c>
      <c r="B74" s="470"/>
      <c r="C74" s="470"/>
      <c r="D74" s="471"/>
      <c r="E74" s="336">
        <v>1</v>
      </c>
      <c r="F74" s="337">
        <v>750</v>
      </c>
      <c r="G74" s="82">
        <f t="shared" si="2"/>
        <v>750</v>
      </c>
      <c r="H74" s="7"/>
      <c r="I74" s="7"/>
    </row>
    <row r="75" spans="1:9" ht="15.75" x14ac:dyDescent="0.25">
      <c r="A75" s="507" t="s">
        <v>537</v>
      </c>
      <c r="B75" s="470"/>
      <c r="C75" s="470"/>
      <c r="D75" s="471"/>
      <c r="E75" s="336">
        <v>1</v>
      </c>
      <c r="F75" s="337">
        <v>4700</v>
      </c>
      <c r="G75" s="82">
        <f t="shared" si="2"/>
        <v>4700</v>
      </c>
      <c r="H75" s="7"/>
      <c r="I75" s="7"/>
    </row>
    <row r="76" spans="1:9" ht="15.75" x14ac:dyDescent="0.25">
      <c r="A76" s="507" t="s">
        <v>538</v>
      </c>
      <c r="B76" s="470"/>
      <c r="C76" s="470"/>
      <c r="D76" s="471"/>
      <c r="E76" s="336">
        <v>1</v>
      </c>
      <c r="F76" s="337">
        <v>4700</v>
      </c>
      <c r="G76" s="82">
        <f t="shared" si="2"/>
        <v>4700</v>
      </c>
      <c r="H76" s="7"/>
      <c r="I76" s="7"/>
    </row>
    <row r="77" spans="1:9" ht="15.75" x14ac:dyDescent="0.25">
      <c r="A77" s="507" t="s">
        <v>539</v>
      </c>
      <c r="B77" s="470"/>
      <c r="C77" s="470"/>
      <c r="D77" s="471"/>
      <c r="E77" s="336">
        <v>5</v>
      </c>
      <c r="F77" s="337">
        <v>700</v>
      </c>
      <c r="G77" s="82">
        <f t="shared" si="2"/>
        <v>3500</v>
      </c>
      <c r="H77" s="7"/>
      <c r="I77" s="7"/>
    </row>
    <row r="78" spans="1:9" ht="15.75" x14ac:dyDescent="0.25">
      <c r="A78" s="507" t="s">
        <v>540</v>
      </c>
      <c r="B78" s="470"/>
      <c r="C78" s="470"/>
      <c r="D78" s="471"/>
      <c r="E78" s="336">
        <v>23</v>
      </c>
      <c r="F78" s="337">
        <v>550</v>
      </c>
      <c r="G78" s="82">
        <f t="shared" si="2"/>
        <v>12650</v>
      </c>
      <c r="H78" s="7"/>
      <c r="I78" s="7"/>
    </row>
    <row r="79" spans="1:9" ht="15.75" x14ac:dyDescent="0.25">
      <c r="A79" s="507" t="s">
        <v>541</v>
      </c>
      <c r="B79" s="470"/>
      <c r="C79" s="470"/>
      <c r="D79" s="471"/>
      <c r="E79" s="336">
        <v>15</v>
      </c>
      <c r="F79" s="337">
        <v>1000</v>
      </c>
      <c r="G79" s="82">
        <f t="shared" si="2"/>
        <v>15000</v>
      </c>
      <c r="H79" s="7"/>
      <c r="I79" s="7"/>
    </row>
    <row r="80" spans="1:9" ht="15.75" x14ac:dyDescent="0.25">
      <c r="A80" s="510" t="s">
        <v>542</v>
      </c>
      <c r="B80" s="470"/>
      <c r="C80" s="470"/>
      <c r="D80" s="471"/>
      <c r="E80" s="336"/>
      <c r="F80" s="337"/>
      <c r="G80" s="82"/>
      <c r="H80" s="7"/>
      <c r="I80" s="7"/>
    </row>
    <row r="81" spans="1:11" ht="15.75" x14ac:dyDescent="0.25">
      <c r="A81" s="507" t="s">
        <v>543</v>
      </c>
      <c r="B81" s="470"/>
      <c r="C81" s="470"/>
      <c r="D81" s="471"/>
      <c r="E81" s="336">
        <v>100</v>
      </c>
      <c r="F81" s="337">
        <v>5</v>
      </c>
      <c r="G81" s="82">
        <f t="shared" si="2"/>
        <v>500</v>
      </c>
      <c r="H81" s="7"/>
      <c r="I81" s="7"/>
    </row>
    <row r="82" spans="1:11" ht="15.75" x14ac:dyDescent="0.25">
      <c r="A82" s="507" t="s">
        <v>544</v>
      </c>
      <c r="B82" s="470"/>
      <c r="C82" s="470"/>
      <c r="D82" s="471"/>
      <c r="E82" s="336">
        <v>5</v>
      </c>
      <c r="F82" s="337">
        <v>500</v>
      </c>
      <c r="G82" s="82">
        <f t="shared" si="2"/>
        <v>2500</v>
      </c>
      <c r="H82" s="7"/>
      <c r="I82" s="7"/>
    </row>
    <row r="83" spans="1:11" ht="15.75" x14ac:dyDescent="0.25">
      <c r="A83" s="433" t="s">
        <v>376</v>
      </c>
      <c r="B83" s="470"/>
      <c r="C83" s="470"/>
      <c r="D83" s="471"/>
      <c r="E83" s="336"/>
      <c r="F83" s="337"/>
      <c r="G83" s="82"/>
      <c r="H83" s="7"/>
      <c r="I83" s="7"/>
    </row>
    <row r="84" spans="1:11" ht="15.75" x14ac:dyDescent="0.25">
      <c r="A84" s="507" t="s">
        <v>545</v>
      </c>
      <c r="B84" s="470"/>
      <c r="C84" s="470"/>
      <c r="D84" s="471"/>
      <c r="E84" s="336">
        <v>5</v>
      </c>
      <c r="F84" s="337">
        <v>1050</v>
      </c>
      <c r="G84" s="82">
        <f t="shared" si="2"/>
        <v>5250</v>
      </c>
      <c r="H84" s="7"/>
      <c r="I84" s="7"/>
    </row>
    <row r="85" spans="1:11" ht="15.75" x14ac:dyDescent="0.25">
      <c r="A85" s="507" t="s">
        <v>545</v>
      </c>
      <c r="B85" s="470"/>
      <c r="C85" s="470"/>
      <c r="D85" s="471"/>
      <c r="E85" s="336">
        <v>10</v>
      </c>
      <c r="F85" s="337">
        <v>1500</v>
      </c>
      <c r="G85" s="82">
        <f t="shared" si="2"/>
        <v>15000</v>
      </c>
      <c r="H85" s="7"/>
      <c r="I85" s="7"/>
    </row>
    <row r="86" spans="1:11" ht="15.75" x14ac:dyDescent="0.25">
      <c r="A86" s="507" t="s">
        <v>546</v>
      </c>
      <c r="B86" s="470"/>
      <c r="C86" s="470"/>
      <c r="D86" s="471"/>
      <c r="E86" s="336">
        <v>3</v>
      </c>
      <c r="F86" s="337">
        <v>3400</v>
      </c>
      <c r="G86" s="82">
        <f t="shared" si="2"/>
        <v>10200</v>
      </c>
      <c r="H86" s="7"/>
      <c r="I86" s="7"/>
    </row>
    <row r="87" spans="1:11" ht="14.45" customHeight="1" x14ac:dyDescent="0.25">
      <c r="A87" s="724" t="s">
        <v>84</v>
      </c>
      <c r="B87" s="726"/>
      <c r="C87" s="429"/>
      <c r="D87" s="79"/>
      <c r="E87" s="79"/>
      <c r="F87" s="165"/>
      <c r="G87" s="451">
        <f>SUM(G59:G86)</f>
        <v>213250</v>
      </c>
      <c r="H87" s="7"/>
      <c r="I87" s="7"/>
    </row>
    <row r="88" spans="1:11" ht="36.75" hidden="1" customHeight="1" x14ac:dyDescent="0.25">
      <c r="A88" s="712" t="s">
        <v>240</v>
      </c>
      <c r="B88" s="712"/>
      <c r="C88" s="712"/>
      <c r="D88" s="712"/>
      <c r="E88" s="712"/>
      <c r="F88" s="712"/>
      <c r="G88" s="169"/>
      <c r="H88" s="7"/>
      <c r="I88" s="7"/>
    </row>
    <row r="89" spans="1:11" ht="15.75" hidden="1" x14ac:dyDescent="0.25">
      <c r="A89" s="11"/>
      <c r="B89" s="11"/>
      <c r="C89" s="11"/>
      <c r="D89" s="11"/>
      <c r="E89" s="11"/>
      <c r="F89" s="96">
        <f>D44</f>
        <v>0.28000000000000003</v>
      </c>
      <c r="G89" s="169"/>
      <c r="H89" s="7"/>
      <c r="I89" s="7"/>
    </row>
    <row r="90" spans="1:11" ht="15.75" hidden="1" customHeight="1" x14ac:dyDescent="0.25">
      <c r="A90" s="701" t="s">
        <v>0</v>
      </c>
      <c r="B90" s="701"/>
      <c r="C90" s="418"/>
      <c r="D90" s="701" t="s">
        <v>1</v>
      </c>
      <c r="E90" s="705" t="s">
        <v>2</v>
      </c>
      <c r="F90" s="705" t="s">
        <v>42</v>
      </c>
      <c r="G90" s="705" t="s">
        <v>219</v>
      </c>
      <c r="H90" s="705" t="s">
        <v>220</v>
      </c>
      <c r="I90" s="7"/>
      <c r="J90" s="7"/>
      <c r="K90" s="7"/>
    </row>
    <row r="91" spans="1:11" ht="53.25" hidden="1" customHeight="1" x14ac:dyDescent="0.25">
      <c r="A91" s="701"/>
      <c r="B91" s="701"/>
      <c r="C91" s="418"/>
      <c r="D91" s="701"/>
      <c r="E91" s="706"/>
      <c r="F91" s="706"/>
      <c r="G91" s="706"/>
      <c r="H91" s="735"/>
      <c r="I91" s="7"/>
      <c r="J91" s="7"/>
      <c r="K91" s="7"/>
    </row>
    <row r="92" spans="1:11" ht="15.75" hidden="1" x14ac:dyDescent="0.25">
      <c r="A92" s="701">
        <v>1</v>
      </c>
      <c r="B92" s="701"/>
      <c r="C92" s="418"/>
      <c r="D92" s="418">
        <v>2</v>
      </c>
      <c r="E92" s="418">
        <v>3</v>
      </c>
      <c r="F92" s="418" t="s">
        <v>41</v>
      </c>
      <c r="G92" s="418">
        <v>5</v>
      </c>
      <c r="H92" s="278"/>
      <c r="I92" s="7"/>
      <c r="J92" s="7"/>
      <c r="K92" s="7"/>
    </row>
    <row r="93" spans="1:11" ht="15.75" hidden="1" x14ac:dyDescent="0.25">
      <c r="A93" s="734">
        <f>'инновации+добровольчество0,41'!A185:B185</f>
        <v>0</v>
      </c>
      <c r="B93" s="734"/>
      <c r="C93" s="103"/>
      <c r="D93" s="80">
        <f>'инновации+добровольчество0,41'!D185</f>
        <v>0</v>
      </c>
      <c r="E93" s="70">
        <f>1*F89</f>
        <v>0.28000000000000003</v>
      </c>
      <c r="F93" s="77"/>
      <c r="G93" s="77"/>
      <c r="H93" s="77"/>
      <c r="I93" s="7"/>
      <c r="J93" s="7"/>
      <c r="K93" s="7"/>
    </row>
    <row r="94" spans="1:11" ht="15.75" hidden="1" x14ac:dyDescent="0.25">
      <c r="A94" s="731" t="s">
        <v>145</v>
      </c>
      <c r="B94" s="731"/>
      <c r="C94" s="102"/>
      <c r="D94" s="80">
        <f>'патриотика0,31'!D139</f>
        <v>0.155</v>
      </c>
      <c r="E94" s="418">
        <f>1*F89</f>
        <v>0.28000000000000003</v>
      </c>
      <c r="F94" s="77"/>
      <c r="G94" s="77"/>
      <c r="H94" s="77"/>
      <c r="I94" s="7"/>
      <c r="J94" s="7"/>
      <c r="K94" s="7"/>
    </row>
    <row r="95" spans="1:11" ht="15.75" hidden="1" x14ac:dyDescent="0.25">
      <c r="A95" s="732" t="s">
        <v>91</v>
      </c>
      <c r="B95" s="733"/>
      <c r="C95" s="102"/>
      <c r="D95" s="80">
        <f>'патриотика0,31'!D140</f>
        <v>0.31</v>
      </c>
      <c r="E95" s="418">
        <f>1*F89/2</f>
        <v>0.14000000000000001</v>
      </c>
      <c r="F95" s="77"/>
      <c r="G95" s="77"/>
      <c r="H95" s="77"/>
      <c r="I95" s="7"/>
      <c r="J95" s="7"/>
      <c r="K95" s="7"/>
    </row>
    <row r="96" spans="1:11" ht="15.75" hidden="1" x14ac:dyDescent="0.25">
      <c r="A96" s="731" t="s">
        <v>146</v>
      </c>
      <c r="B96" s="731"/>
      <c r="C96" s="102"/>
      <c r="D96" s="80" t="e">
        <f>'патриотика0,31'!#REF!</f>
        <v>#REF!</v>
      </c>
      <c r="E96" s="418">
        <f>1*F89</f>
        <v>0.28000000000000003</v>
      </c>
      <c r="F96" s="77"/>
      <c r="G96" s="77"/>
      <c r="H96" s="77"/>
      <c r="I96" s="7"/>
      <c r="J96" s="7"/>
      <c r="K96" s="7"/>
    </row>
    <row r="97" spans="1:11" ht="15.75" hidden="1" x14ac:dyDescent="0.25">
      <c r="A97" s="701" t="s">
        <v>28</v>
      </c>
      <c r="B97" s="701"/>
      <c r="C97" s="701"/>
      <c r="D97" s="701"/>
      <c r="E97" s="701"/>
      <c r="F97" s="701"/>
      <c r="G97" s="418"/>
      <c r="H97" s="418"/>
      <c r="I97" s="7"/>
      <c r="J97" s="7"/>
      <c r="K97" s="7"/>
    </row>
    <row r="98" spans="1:11" ht="15.75" x14ac:dyDescent="0.25">
      <c r="A98" s="353"/>
      <c r="B98" s="353"/>
      <c r="C98" s="353"/>
      <c r="D98" s="353"/>
      <c r="E98" s="353"/>
      <c r="F98" s="353"/>
      <c r="G98" s="353"/>
      <c r="H98" s="353"/>
      <c r="I98" s="7"/>
      <c r="J98" s="7"/>
      <c r="K98" s="7"/>
    </row>
    <row r="99" spans="1:11" ht="14.45" customHeight="1" x14ac:dyDescent="0.25">
      <c r="A99" s="593" t="s">
        <v>245</v>
      </c>
      <c r="B99" s="593"/>
      <c r="C99" s="593"/>
      <c r="D99" s="593"/>
      <c r="E99" s="593"/>
      <c r="F99" s="593"/>
      <c r="G99" s="593"/>
      <c r="H99" s="593"/>
    </row>
    <row r="100" spans="1:11" ht="14.45" customHeight="1" x14ac:dyDescent="0.25">
      <c r="A100" s="402"/>
      <c r="B100" s="402"/>
      <c r="C100" s="414"/>
      <c r="D100" s="402"/>
      <c r="E100" s="414"/>
      <c r="F100" s="414">
        <v>0.28000000000000003</v>
      </c>
      <c r="G100" s="402"/>
      <c r="H100" s="414"/>
    </row>
    <row r="101" spans="1:11" s="7" customFormat="1" ht="31.5" customHeight="1" x14ac:dyDescent="0.25">
      <c r="A101" s="409" t="s">
        <v>0</v>
      </c>
      <c r="B101" s="560" t="s">
        <v>1</v>
      </c>
      <c r="C101" s="403"/>
      <c r="D101" s="560" t="s">
        <v>2</v>
      </c>
      <c r="E101" s="584" t="s">
        <v>3</v>
      </c>
      <c r="F101" s="585"/>
      <c r="G101" s="738" t="s">
        <v>35</v>
      </c>
      <c r="H101" s="403" t="s">
        <v>5</v>
      </c>
      <c r="I101" s="560" t="s">
        <v>6</v>
      </c>
    </row>
    <row r="102" spans="1:11" s="7" customFormat="1" ht="30" x14ac:dyDescent="0.25">
      <c r="A102" s="350"/>
      <c r="B102" s="737"/>
      <c r="C102" s="403"/>
      <c r="D102" s="737"/>
      <c r="E102" s="403" t="s">
        <v>230</v>
      </c>
      <c r="F102" s="403" t="s">
        <v>239</v>
      </c>
      <c r="G102" s="740"/>
      <c r="H102" s="403" t="s">
        <v>53</v>
      </c>
      <c r="I102" s="737"/>
    </row>
    <row r="103" spans="1:11" s="7" customFormat="1" ht="15.75" x14ac:dyDescent="0.25">
      <c r="A103" s="351"/>
      <c r="B103" s="561"/>
      <c r="C103" s="403"/>
      <c r="D103" s="561"/>
      <c r="E103" s="403" t="s">
        <v>4</v>
      </c>
      <c r="F103" s="53"/>
      <c r="G103" s="739"/>
      <c r="H103" s="403" t="s">
        <v>231</v>
      </c>
      <c r="I103" s="561"/>
    </row>
    <row r="104" spans="1:11" s="7" customFormat="1" ht="15.75" x14ac:dyDescent="0.25">
      <c r="A104" s="705">
        <v>1</v>
      </c>
      <c r="B104" s="560">
        <v>2</v>
      </c>
      <c r="C104" s="403"/>
      <c r="D104" s="560">
        <v>3</v>
      </c>
      <c r="E104" s="560" t="s">
        <v>229</v>
      </c>
      <c r="F104" s="560">
        <v>5</v>
      </c>
      <c r="G104" s="738" t="s">
        <v>7</v>
      </c>
      <c r="H104" s="403" t="s">
        <v>54</v>
      </c>
      <c r="I104" s="560" t="s">
        <v>55</v>
      </c>
    </row>
    <row r="105" spans="1:11" s="7" customFormat="1" ht="15.75" x14ac:dyDescent="0.25">
      <c r="A105" s="706"/>
      <c r="B105" s="561"/>
      <c r="C105" s="403"/>
      <c r="D105" s="561"/>
      <c r="E105" s="561"/>
      <c r="F105" s="561"/>
      <c r="G105" s="739"/>
      <c r="H105" s="54">
        <v>1780.6</v>
      </c>
      <c r="I105" s="561"/>
    </row>
    <row r="106" spans="1:11" s="7" customFormat="1" ht="15.75" x14ac:dyDescent="0.25">
      <c r="A106" s="352" t="str">
        <f>'инновации+добровольчество0,41'!A188</f>
        <v>Заведующий МЦ</v>
      </c>
      <c r="B106" s="88">
        <v>73188.34</v>
      </c>
      <c r="C106" s="88"/>
      <c r="D106" s="403">
        <f>1*F100</f>
        <v>0.28000000000000003</v>
      </c>
      <c r="E106" s="56">
        <f>D106*1780.6</f>
        <v>498.56800000000004</v>
      </c>
      <c r="F106" s="57">
        <v>1</v>
      </c>
      <c r="G106" s="58">
        <f>E106/F106</f>
        <v>498.56800000000004</v>
      </c>
      <c r="H106" s="56">
        <f>B106*1.302/1780.6*12</f>
        <v>642.19623955969905</v>
      </c>
      <c r="I106" s="56">
        <f>G106*H106</f>
        <v>320178.49476480007</v>
      </c>
    </row>
    <row r="107" spans="1:11" s="7" customFormat="1" ht="15.75" x14ac:dyDescent="0.25">
      <c r="A107" s="352" t="str">
        <f>'инновации+добровольчество0,41'!A189</f>
        <v>Водитель</v>
      </c>
      <c r="B107" s="37">
        <v>27899</v>
      </c>
      <c r="C107" s="173"/>
      <c r="D107" s="403">
        <f>1*F100</f>
        <v>0.28000000000000003</v>
      </c>
      <c r="E107" s="56">
        <f t="shared" ref="E107:E109" si="3">D107*1780.6</f>
        <v>498.56800000000004</v>
      </c>
      <c r="F107" s="57">
        <v>1</v>
      </c>
      <c r="G107" s="58">
        <f t="shared" ref="G107:G109" si="4">E107/F107</f>
        <v>498.56800000000004</v>
      </c>
      <c r="H107" s="56">
        <f t="shared" ref="H107:H109" si="5">B107*1.302/1780.6*12</f>
        <v>244.80173873975065</v>
      </c>
      <c r="I107" s="56">
        <f>G107*H107</f>
        <v>122050.31328000002</v>
      </c>
    </row>
    <row r="108" spans="1:11" s="7" customFormat="1" ht="15.75" x14ac:dyDescent="0.25">
      <c r="A108" s="352" t="str">
        <f>'инновации+добровольчество0,41'!A190</f>
        <v>Рабочий по обслуживанию здания</v>
      </c>
      <c r="B108" s="58">
        <v>27899</v>
      </c>
      <c r="C108" s="58"/>
      <c r="D108" s="403">
        <f>0.5*F100</f>
        <v>0.14000000000000001</v>
      </c>
      <c r="E108" s="56">
        <f t="shared" si="3"/>
        <v>249.28400000000002</v>
      </c>
      <c r="F108" s="57">
        <v>1</v>
      </c>
      <c r="G108" s="58">
        <f t="shared" si="4"/>
        <v>249.28400000000002</v>
      </c>
      <c r="H108" s="56">
        <f t="shared" si="5"/>
        <v>244.80173873975065</v>
      </c>
      <c r="I108" s="56">
        <f>G108*H108</f>
        <v>61025.156640000008</v>
      </c>
    </row>
    <row r="109" spans="1:11" s="7" customFormat="1" ht="15.75" x14ac:dyDescent="0.25">
      <c r="A109" s="352" t="str">
        <f>'инновации+добровольчество0,41'!A191</f>
        <v>Уборщик служебных помещений</v>
      </c>
      <c r="B109" s="37">
        <v>27899</v>
      </c>
      <c r="C109" s="430"/>
      <c r="D109" s="403">
        <f>1*F100</f>
        <v>0.28000000000000003</v>
      </c>
      <c r="E109" s="56">
        <f t="shared" si="3"/>
        <v>498.56800000000004</v>
      </c>
      <c r="F109" s="57">
        <v>1</v>
      </c>
      <c r="G109" s="58">
        <f t="shared" si="4"/>
        <v>498.56800000000004</v>
      </c>
      <c r="H109" s="56">
        <f t="shared" si="5"/>
        <v>244.80173873975065</v>
      </c>
      <c r="I109" s="56">
        <f>G109*H109</f>
        <v>122050.31328000002</v>
      </c>
      <c r="J109" s="169"/>
    </row>
    <row r="110" spans="1:11" s="7" customFormat="1" ht="15.75" x14ac:dyDescent="0.25">
      <c r="A110" s="713" t="s">
        <v>28</v>
      </c>
      <c r="B110" s="714"/>
      <c r="C110" s="714"/>
      <c r="D110" s="714"/>
      <c r="E110" s="714"/>
      <c r="F110" s="715"/>
      <c r="G110" s="417"/>
      <c r="H110" s="417"/>
      <c r="I110" s="349">
        <f>SUM(I106:I109)</f>
        <v>625304.27796480013</v>
      </c>
    </row>
    <row r="111" spans="1:11" s="38" customFormat="1" ht="14.45" customHeight="1" x14ac:dyDescent="0.25">
      <c r="A111" s="593" t="s">
        <v>170</v>
      </c>
      <c r="B111" s="593"/>
      <c r="C111" s="593"/>
      <c r="D111" s="593"/>
      <c r="E111" s="593"/>
      <c r="F111" s="593"/>
      <c r="G111" s="598"/>
      <c r="H111" s="598"/>
      <c r="I111" s="153"/>
    </row>
    <row r="112" spans="1:11" s="38" customFormat="1" ht="15" customHeight="1" x14ac:dyDescent="0.25">
      <c r="A112" s="594" t="s">
        <v>62</v>
      </c>
      <c r="B112" s="597" t="s">
        <v>159</v>
      </c>
      <c r="C112" s="597"/>
      <c r="D112" s="623" t="s">
        <v>163</v>
      </c>
      <c r="E112" s="594" t="s">
        <v>169</v>
      </c>
      <c r="F112" s="626" t="s">
        <v>6</v>
      </c>
      <c r="G112" s="213"/>
      <c r="H112" s="213"/>
    </row>
    <row r="113" spans="1:9" s="38" customFormat="1" ht="15" customHeight="1" x14ac:dyDescent="0.25">
      <c r="A113" s="595"/>
      <c r="B113" s="597"/>
      <c r="C113" s="597"/>
      <c r="D113" s="624"/>
      <c r="E113" s="595"/>
      <c r="F113" s="626"/>
      <c r="G113" s="176"/>
      <c r="H113" s="176"/>
    </row>
    <row r="114" spans="1:9" s="38" customFormat="1" x14ac:dyDescent="0.25">
      <c r="A114" s="596"/>
      <c r="B114" s="597"/>
      <c r="C114" s="597"/>
      <c r="D114" s="625"/>
      <c r="E114" s="596"/>
      <c r="F114" s="626"/>
    </row>
    <row r="115" spans="1:9" s="38" customFormat="1" x14ac:dyDescent="0.25">
      <c r="A115" s="468">
        <v>1</v>
      </c>
      <c r="B115" s="599">
        <v>2</v>
      </c>
      <c r="C115" s="600"/>
      <c r="D115" s="468">
        <v>5</v>
      </c>
      <c r="E115" s="178">
        <v>6</v>
      </c>
      <c r="F115" s="178">
        <v>7</v>
      </c>
    </row>
    <row r="116" spans="1:9" s="38" customFormat="1" x14ac:dyDescent="0.25">
      <c r="A116" s="465" t="s">
        <v>97</v>
      </c>
      <c r="B116" s="465">
        <v>0.28000000000000003</v>
      </c>
      <c r="C116" s="466">
        <v>1</v>
      </c>
      <c r="D116" s="152">
        <v>303.73</v>
      </c>
      <c r="E116" s="179">
        <f>D116*30.2%</f>
        <v>91.726460000000003</v>
      </c>
      <c r="F116" s="179">
        <f>D116+E116</f>
        <v>395.45645999999999</v>
      </c>
    </row>
    <row r="117" spans="1:9" s="38" customFormat="1" x14ac:dyDescent="0.25">
      <c r="A117" s="465" t="s">
        <v>165</v>
      </c>
      <c r="B117" s="599">
        <v>1.5680000000000001</v>
      </c>
      <c r="C117" s="600"/>
      <c r="D117" s="152">
        <v>1218.78</v>
      </c>
      <c r="E117" s="179">
        <f>D117*30.2%</f>
        <v>368.07155999999998</v>
      </c>
      <c r="F117" s="179">
        <f>D117+E117</f>
        <v>1586.8515600000001</v>
      </c>
    </row>
    <row r="118" spans="1:9" s="38" customFormat="1" x14ac:dyDescent="0.25">
      <c r="A118" s="467"/>
      <c r="B118" s="601">
        <f>SUM(B116:C117)</f>
        <v>2.8479999999999999</v>
      </c>
      <c r="C118" s="601"/>
      <c r="D118" s="129">
        <f>SUM(D116:D117)</f>
        <v>1522.51</v>
      </c>
      <c r="E118" s="129">
        <f>SUM(E116:E117)</f>
        <v>459.79801999999995</v>
      </c>
      <c r="F118" s="129">
        <f>SUM(F116:F117)</f>
        <v>1982.3080199999999</v>
      </c>
    </row>
    <row r="119" spans="1:9" ht="18.75" x14ac:dyDescent="0.25">
      <c r="A119" s="402"/>
      <c r="B119" s="153"/>
      <c r="C119" s="153"/>
      <c r="D119" s="212"/>
      <c r="E119" s="212"/>
      <c r="F119" s="212"/>
      <c r="G119" s="212"/>
      <c r="H119" s="215"/>
    </row>
    <row r="120" spans="1:9" ht="18.75" x14ac:dyDescent="0.25">
      <c r="A120" s="402"/>
      <c r="B120" s="153"/>
      <c r="C120" s="153"/>
      <c r="D120" s="212"/>
      <c r="E120" s="212"/>
      <c r="F120" s="212"/>
      <c r="G120" s="212"/>
      <c r="H120" s="215"/>
    </row>
    <row r="121" spans="1:9" s="38" customFormat="1" ht="14.45" customHeight="1" x14ac:dyDescent="0.25">
      <c r="A121" s="593" t="s">
        <v>170</v>
      </c>
      <c r="B121" s="593"/>
      <c r="C121" s="593"/>
      <c r="D121" s="593"/>
      <c r="E121" s="593"/>
      <c r="F121" s="593"/>
      <c r="G121" s="598"/>
      <c r="H121" s="598"/>
      <c r="I121" s="153"/>
    </row>
    <row r="122" spans="1:9" s="38" customFormat="1" ht="15" customHeight="1" x14ac:dyDescent="0.25">
      <c r="A122" s="594" t="s">
        <v>62</v>
      </c>
      <c r="B122" s="597" t="s">
        <v>159</v>
      </c>
      <c r="C122" s="597"/>
      <c r="D122" s="623" t="s">
        <v>163</v>
      </c>
      <c r="E122" s="594" t="s">
        <v>169</v>
      </c>
      <c r="F122" s="626" t="s">
        <v>6</v>
      </c>
      <c r="G122" s="213"/>
      <c r="H122" s="213"/>
    </row>
    <row r="123" spans="1:9" s="38" customFormat="1" ht="15" customHeight="1" x14ac:dyDescent="0.25">
      <c r="A123" s="595"/>
      <c r="B123" s="597"/>
      <c r="C123" s="597"/>
      <c r="D123" s="624"/>
      <c r="E123" s="595"/>
      <c r="F123" s="626"/>
      <c r="G123" s="176"/>
      <c r="H123" s="176"/>
    </row>
    <row r="124" spans="1:9" s="38" customFormat="1" x14ac:dyDescent="0.25">
      <c r="A124" s="596"/>
      <c r="B124" s="597"/>
      <c r="C124" s="597"/>
      <c r="D124" s="625"/>
      <c r="E124" s="596"/>
      <c r="F124" s="626"/>
    </row>
    <row r="125" spans="1:9" s="38" customFormat="1" x14ac:dyDescent="0.25">
      <c r="A125" s="468">
        <v>1</v>
      </c>
      <c r="B125" s="599">
        <v>2</v>
      </c>
      <c r="C125" s="600"/>
      <c r="D125" s="468">
        <v>5</v>
      </c>
      <c r="E125" s="178">
        <v>6</v>
      </c>
      <c r="F125" s="178">
        <v>7</v>
      </c>
    </row>
    <row r="126" spans="1:9" s="38" customFormat="1" x14ac:dyDescent="0.25">
      <c r="A126" s="347" t="s">
        <v>193</v>
      </c>
      <c r="B126" s="465">
        <v>0.28000000000000003</v>
      </c>
      <c r="C126" s="466">
        <v>1</v>
      </c>
      <c r="D126" s="152">
        <v>399.85</v>
      </c>
      <c r="E126" s="179">
        <f>D126*30.2%</f>
        <v>120.7547</v>
      </c>
      <c r="F126" s="179">
        <f>D126+E126+0.01</f>
        <v>520.61469999999997</v>
      </c>
    </row>
    <row r="127" spans="1:9" s="38" customFormat="1" x14ac:dyDescent="0.25">
      <c r="A127" s="467"/>
      <c r="B127" s="601">
        <f>B126</f>
        <v>0.28000000000000003</v>
      </c>
      <c r="C127" s="601"/>
      <c r="D127" s="129">
        <f>SUM(D126:D126)</f>
        <v>399.85</v>
      </c>
      <c r="E127" s="129">
        <f>SUM(E126:E126)</f>
        <v>120.7547</v>
      </c>
      <c r="F127" s="129">
        <f>F126</f>
        <v>520.61469999999997</v>
      </c>
    </row>
    <row r="128" spans="1:9" ht="14.45" customHeight="1" x14ac:dyDescent="0.25">
      <c r="A128" s="593" t="s">
        <v>185</v>
      </c>
      <c r="B128" s="593"/>
      <c r="C128" s="593"/>
      <c r="D128" s="598"/>
      <c r="E128" s="598"/>
      <c r="F128" s="598"/>
      <c r="G128" s="598"/>
      <c r="H128" s="598"/>
    </row>
    <row r="129" spans="1:9" ht="14.45" customHeight="1" x14ac:dyDescent="0.25">
      <c r="A129" s="594" t="s">
        <v>62</v>
      </c>
      <c r="B129" s="631" t="s">
        <v>159</v>
      </c>
      <c r="C129" s="632"/>
      <c r="D129" s="612"/>
      <c r="E129" s="637"/>
      <c r="F129" s="613"/>
      <c r="G129" s="213"/>
      <c r="H129" s="213"/>
    </row>
    <row r="130" spans="1:9" ht="14.45" customHeight="1" x14ac:dyDescent="0.25">
      <c r="A130" s="595"/>
      <c r="B130" s="633"/>
      <c r="C130" s="634"/>
      <c r="D130" s="624" t="s">
        <v>163</v>
      </c>
      <c r="E130" s="595" t="s">
        <v>169</v>
      </c>
      <c r="F130" s="595" t="s">
        <v>6</v>
      </c>
      <c r="G130" s="45"/>
    </row>
    <row r="131" spans="1:9" x14ac:dyDescent="0.25">
      <c r="A131" s="596"/>
      <c r="B131" s="635"/>
      <c r="C131" s="636"/>
      <c r="D131" s="625"/>
      <c r="E131" s="596"/>
      <c r="F131" s="596"/>
      <c r="G131" s="45"/>
    </row>
    <row r="132" spans="1:9" x14ac:dyDescent="0.25">
      <c r="A132" s="170">
        <v>1</v>
      </c>
      <c r="B132" s="612">
        <v>2</v>
      </c>
      <c r="C132" s="613"/>
      <c r="D132" s="170">
        <v>5</v>
      </c>
      <c r="E132" s="170">
        <v>6</v>
      </c>
      <c r="F132" s="170">
        <v>7</v>
      </c>
      <c r="G132" s="45"/>
    </row>
    <row r="133" spans="1:9" x14ac:dyDescent="0.25">
      <c r="A133" s="406" t="s">
        <v>166</v>
      </c>
      <c r="B133" s="241">
        <f>E94</f>
        <v>0.28000000000000003</v>
      </c>
      <c r="C133" s="407"/>
      <c r="D133" s="152">
        <v>4559.1400000000003</v>
      </c>
      <c r="E133" s="185">
        <f t="shared" ref="E133:E135" si="6">D133*30.2%</f>
        <v>1376.8602800000001</v>
      </c>
      <c r="F133" s="185">
        <f>D133+E133</f>
        <v>5936.0002800000002</v>
      </c>
      <c r="G133" s="45"/>
    </row>
    <row r="134" spans="1:9" x14ac:dyDescent="0.25">
      <c r="A134" s="406" t="s">
        <v>167</v>
      </c>
      <c r="B134" s="241">
        <f>E95</f>
        <v>0.14000000000000001</v>
      </c>
      <c r="C134" s="407"/>
      <c r="D134" s="152">
        <v>2279.5700000000002</v>
      </c>
      <c r="E134" s="185">
        <f t="shared" si="6"/>
        <v>688.43014000000005</v>
      </c>
      <c r="F134" s="185">
        <f t="shared" ref="F134:F135" si="7">D134+E134</f>
        <v>2968.0001400000001</v>
      </c>
      <c r="G134" s="45"/>
    </row>
    <row r="135" spans="1:9" x14ac:dyDescent="0.25">
      <c r="A135" s="406" t="s">
        <v>146</v>
      </c>
      <c r="B135" s="241">
        <f>E96</f>
        <v>0.28000000000000003</v>
      </c>
      <c r="C135" s="407"/>
      <c r="D135" s="152">
        <v>4559.1400000000003</v>
      </c>
      <c r="E135" s="185">
        <f t="shared" si="6"/>
        <v>1376.8602800000001</v>
      </c>
      <c r="F135" s="185">
        <f t="shared" si="7"/>
        <v>5936.0002800000002</v>
      </c>
      <c r="G135" s="45"/>
    </row>
    <row r="136" spans="1:9" x14ac:dyDescent="0.25">
      <c r="A136" s="155"/>
      <c r="B136" s="410"/>
      <c r="C136" s="156"/>
      <c r="D136" s="129">
        <f>SUM(D133:D135)</f>
        <v>11397.850000000002</v>
      </c>
      <c r="E136" s="129">
        <f>SUM(E133:E135)</f>
        <v>3442.1507000000001</v>
      </c>
      <c r="F136" s="129">
        <f>SUM(F133:F135)</f>
        <v>14840.000700000001</v>
      </c>
      <c r="G136" s="45"/>
    </row>
    <row r="137" spans="1:9" ht="15.75" x14ac:dyDescent="0.25">
      <c r="A137" s="4"/>
      <c r="B137" s="163"/>
      <c r="C137" s="163"/>
      <c r="D137" s="163"/>
      <c r="E137" s="163"/>
      <c r="F137" s="163"/>
      <c r="G137" s="169"/>
      <c r="H137" s="7"/>
      <c r="I137" s="7"/>
    </row>
    <row r="138" spans="1:9" ht="15.75" x14ac:dyDescent="0.25">
      <c r="A138" s="4"/>
      <c r="B138" s="163"/>
      <c r="C138" s="163"/>
      <c r="D138" s="163"/>
      <c r="E138" s="163"/>
      <c r="F138" s="163"/>
      <c r="G138" s="169"/>
      <c r="H138" s="7"/>
      <c r="I138" s="7"/>
    </row>
    <row r="139" spans="1:9" ht="15.75" x14ac:dyDescent="0.25">
      <c r="A139" s="630" t="s">
        <v>12</v>
      </c>
      <c r="B139" s="630"/>
      <c r="C139" s="630"/>
      <c r="D139" s="630"/>
      <c r="E139" s="630"/>
      <c r="F139" s="630"/>
      <c r="G139" s="169"/>
      <c r="H139" s="7"/>
      <c r="I139" s="7"/>
    </row>
    <row r="140" spans="1:9" ht="15.75" x14ac:dyDescent="0.25">
      <c r="A140" s="163"/>
      <c r="B140" s="163"/>
      <c r="C140" s="163"/>
      <c r="D140" s="163"/>
      <c r="E140" s="163"/>
      <c r="F140" s="168">
        <f>F89</f>
        <v>0.28000000000000003</v>
      </c>
      <c r="G140" s="169"/>
      <c r="H140" s="7"/>
      <c r="I140" s="7"/>
    </row>
    <row r="141" spans="1:9" ht="15.75" x14ac:dyDescent="0.25">
      <c r="A141" s="701" t="s">
        <v>13</v>
      </c>
      <c r="B141" s="701" t="s">
        <v>11</v>
      </c>
      <c r="C141" s="418"/>
      <c r="D141" s="701" t="s">
        <v>14</v>
      </c>
      <c r="E141" s="701" t="s">
        <v>94</v>
      </c>
      <c r="F141" s="701" t="s">
        <v>6</v>
      </c>
      <c r="G141" s="169"/>
      <c r="H141" s="7"/>
      <c r="I141" s="7"/>
    </row>
    <row r="142" spans="1:9" ht="3.6" customHeight="1" x14ac:dyDescent="0.25">
      <c r="A142" s="701"/>
      <c r="B142" s="701"/>
      <c r="C142" s="418"/>
      <c r="D142" s="701"/>
      <c r="E142" s="701"/>
      <c r="F142" s="701"/>
      <c r="G142" s="169"/>
      <c r="H142" s="7"/>
      <c r="I142" s="7"/>
    </row>
    <row r="143" spans="1:9" ht="15.75" x14ac:dyDescent="0.25">
      <c r="A143" s="418">
        <v>1</v>
      </c>
      <c r="B143" s="418">
        <v>2</v>
      </c>
      <c r="C143" s="418"/>
      <c r="D143" s="418">
        <v>3</v>
      </c>
      <c r="E143" s="418">
        <v>4</v>
      </c>
      <c r="F143" s="418" t="s">
        <v>178</v>
      </c>
      <c r="G143" s="169"/>
      <c r="H143" s="7"/>
      <c r="I143" s="7"/>
    </row>
    <row r="144" spans="1:9" ht="15.75" x14ac:dyDescent="0.25">
      <c r="A144" s="81" t="str">
        <f>'инновации+добровольчество0,41'!A225</f>
        <v>Теплоэнергия</v>
      </c>
      <c r="B144" s="418" t="str">
        <f>'инновации+добровольчество0,41'!B225</f>
        <v>Гкал</v>
      </c>
      <c r="C144" s="418"/>
      <c r="D144" s="77">
        <f>55*F140</f>
        <v>15.400000000000002</v>
      </c>
      <c r="E144" s="77">
        <f>'инновации+добровольчество0,41'!E225</f>
        <v>3245.16</v>
      </c>
      <c r="F144" s="77">
        <f>D144*E144+13.53</f>
        <v>49988.994000000006</v>
      </c>
      <c r="G144" s="169"/>
      <c r="H144" s="7"/>
      <c r="I144" s="7"/>
    </row>
    <row r="145" spans="1:9" ht="15.75" x14ac:dyDescent="0.25">
      <c r="A145" s="81" t="str">
        <f>'инновации+добровольчество0,41'!A226</f>
        <v xml:space="preserve">Водоснабжение </v>
      </c>
      <c r="B145" s="418" t="str">
        <f>'инновации+добровольчество0,41'!B226</f>
        <v>м2</v>
      </c>
      <c r="C145" s="418"/>
      <c r="D145" s="418">
        <f>106.3*F140</f>
        <v>29.764000000000003</v>
      </c>
      <c r="E145" s="77">
        <f>'инновации+добровольчество0,41'!E226</f>
        <v>46.7</v>
      </c>
      <c r="F145" s="77">
        <f t="shared" ref="F145:F149" si="8">D145*E145</f>
        <v>1389.9788000000003</v>
      </c>
      <c r="G145" s="169"/>
      <c r="H145" s="7"/>
      <c r="I145" s="7"/>
    </row>
    <row r="146" spans="1:9" ht="15.75" x14ac:dyDescent="0.25">
      <c r="A146" s="81" t="str">
        <f>'инновации+добровольчество0,41'!A227</f>
        <v>Водоотведение (септик)</v>
      </c>
      <c r="B146" s="418" t="str">
        <f>'инновации+добровольчество0,41'!B227</f>
        <v>м3</v>
      </c>
      <c r="C146" s="418"/>
      <c r="D146" s="418">
        <f>6*F140</f>
        <v>1.6800000000000002</v>
      </c>
      <c r="E146" s="77">
        <f>'инновации+добровольчество0,41'!E227</f>
        <v>9000</v>
      </c>
      <c r="F146" s="77">
        <f t="shared" si="8"/>
        <v>15120.000000000002</v>
      </c>
      <c r="G146" s="169"/>
      <c r="H146" s="7"/>
      <c r="I146" s="7"/>
    </row>
    <row r="147" spans="1:9" ht="15.75" x14ac:dyDescent="0.25">
      <c r="A147" s="81" t="str">
        <f>'инновации+добровольчество0,41'!A228</f>
        <v>Электроэнергия</v>
      </c>
      <c r="B147" s="418" t="str">
        <f>'инновации+добровольчество0,41'!B228</f>
        <v>МВт час.</v>
      </c>
      <c r="C147" s="418"/>
      <c r="D147" s="77">
        <f>6*F140</f>
        <v>1.6800000000000002</v>
      </c>
      <c r="E147" s="77">
        <f>'инновации+добровольчество0,41'!E228</f>
        <v>7728</v>
      </c>
      <c r="F147" s="77">
        <f t="shared" si="8"/>
        <v>12983.04</v>
      </c>
      <c r="G147" s="169"/>
      <c r="H147" s="7"/>
      <c r="I147" s="7"/>
    </row>
    <row r="148" spans="1:9" ht="15.75" x14ac:dyDescent="0.25">
      <c r="A148" s="228" t="str">
        <f>'инновации+добровольчество0,41'!A229</f>
        <v>ТКО</v>
      </c>
      <c r="B148" s="418" t="str">
        <f>'инновации+добровольчество0,41'!B229</f>
        <v>договор</v>
      </c>
      <c r="C148" s="411"/>
      <c r="D148" s="170">
        <f>3.636*F140</f>
        <v>1.0180800000000001</v>
      </c>
      <c r="E148" s="77">
        <f>'инновации+добровольчество0,41'!E229</f>
        <v>2170.58</v>
      </c>
      <c r="F148" s="77">
        <f t="shared" si="8"/>
        <v>2209.8240863999999</v>
      </c>
      <c r="G148" s="169"/>
      <c r="H148" s="7"/>
      <c r="I148" s="7"/>
    </row>
    <row r="149" spans="1:9" ht="15.75" x14ac:dyDescent="0.25">
      <c r="A149" s="228" t="str">
        <f>'инновации+добровольчество0,41'!A230</f>
        <v>Электроэнергия (резерв)</v>
      </c>
      <c r="B149" s="418" t="str">
        <f>'инновации+добровольчество0,41'!B230</f>
        <v>МВт час.</v>
      </c>
      <c r="C149" s="411"/>
      <c r="D149" s="170">
        <f>3.348*D158</f>
        <v>0.93744000000000005</v>
      </c>
      <c r="E149" s="77">
        <f>'инновации+добровольчество0,41'!E230</f>
        <v>7728</v>
      </c>
      <c r="F149" s="77">
        <f t="shared" si="8"/>
        <v>7244.5363200000002</v>
      </c>
      <c r="G149" s="169"/>
      <c r="H149" s="7"/>
      <c r="I149" s="7"/>
    </row>
    <row r="150" spans="1:9" ht="18.75" x14ac:dyDescent="0.25">
      <c r="A150" s="730"/>
      <c r="B150" s="730"/>
      <c r="C150" s="730"/>
      <c r="D150" s="730"/>
      <c r="E150" s="730"/>
      <c r="F150" s="452">
        <f>SUM(F144:F149)</f>
        <v>88936.373206399992</v>
      </c>
      <c r="G150" s="169"/>
      <c r="H150" s="7"/>
      <c r="I150" s="7"/>
    </row>
    <row r="151" spans="1:9" ht="18.75" x14ac:dyDescent="0.25">
      <c r="A151" s="244"/>
      <c r="B151" s="244"/>
      <c r="C151" s="244"/>
      <c r="D151" s="244"/>
      <c r="E151" s="244"/>
      <c r="F151" s="245"/>
      <c r="G151" s="246"/>
      <c r="H151" s="7"/>
      <c r="I151" s="7"/>
    </row>
    <row r="152" spans="1:9" s="7" customFormat="1" ht="25.5" x14ac:dyDescent="0.25">
      <c r="A152" s="405" t="s">
        <v>115</v>
      </c>
      <c r="B152" s="423" t="s">
        <v>116</v>
      </c>
      <c r="C152" s="243"/>
      <c r="D152" s="423" t="s">
        <v>120</v>
      </c>
      <c r="E152" s="423" t="s">
        <v>117</v>
      </c>
      <c r="F152" s="423" t="s">
        <v>118</v>
      </c>
      <c r="G152" s="428" t="s">
        <v>6</v>
      </c>
    </row>
    <row r="153" spans="1:9" s="7" customFormat="1" ht="15.75" x14ac:dyDescent="0.25">
      <c r="A153" s="406">
        <v>1</v>
      </c>
      <c r="B153" s="411">
        <v>2</v>
      </c>
      <c r="C153" s="331"/>
      <c r="D153" s="411">
        <v>3</v>
      </c>
      <c r="E153" s="411">
        <v>4</v>
      </c>
      <c r="F153" s="411">
        <v>5</v>
      </c>
      <c r="G153" s="326" t="s">
        <v>225</v>
      </c>
    </row>
    <row r="154" spans="1:9" s="7" customFormat="1" ht="15.75" x14ac:dyDescent="0.25">
      <c r="A154" s="411" t="s">
        <v>119</v>
      </c>
      <c r="B154" s="411">
        <f>'инновации+добровольчество0,41'!B216</f>
        <v>3</v>
      </c>
      <c r="C154" s="411">
        <f>'инновации+добровольчество0,41'!C216</f>
        <v>0</v>
      </c>
      <c r="D154" s="411">
        <f>'инновации+добровольчество0,41'!D216</f>
        <v>12</v>
      </c>
      <c r="E154" s="411">
        <f>'инновации+добровольчество0,41'!E216</f>
        <v>75</v>
      </c>
      <c r="F154" s="411">
        <f>'инновации+добровольчество0,41'!F216</f>
        <v>2700</v>
      </c>
      <c r="G154" s="166">
        <f>F154*F140</f>
        <v>756.00000000000011</v>
      </c>
    </row>
    <row r="155" spans="1:9" s="7" customFormat="1" ht="18.75" x14ac:dyDescent="0.25">
      <c r="A155" s="128"/>
      <c r="B155" s="128"/>
      <c r="C155" s="128"/>
      <c r="D155" s="128"/>
      <c r="E155" s="410" t="s">
        <v>92</v>
      </c>
      <c r="F155" s="129">
        <f>F154</f>
        <v>2700</v>
      </c>
      <c r="G155" s="453">
        <f>G154</f>
        <v>756.00000000000011</v>
      </c>
    </row>
    <row r="156" spans="1:9" ht="15.75" x14ac:dyDescent="0.25">
      <c r="A156" s="680" t="s">
        <v>61</v>
      </c>
      <c r="B156" s="680"/>
      <c r="C156" s="680"/>
      <c r="D156" s="680"/>
      <c r="E156" s="680"/>
      <c r="F156" s="680"/>
      <c r="G156" s="169"/>
      <c r="H156" s="7"/>
      <c r="I156" s="7"/>
    </row>
    <row r="157" spans="1:9" ht="15.75" x14ac:dyDescent="0.25">
      <c r="A157" s="426" t="s">
        <v>85</v>
      </c>
      <c r="B157" s="6" t="s">
        <v>243</v>
      </c>
      <c r="C157" s="6"/>
      <c r="D157" s="6"/>
      <c r="E157" s="7"/>
      <c r="F157" s="7"/>
      <c r="G157" s="169"/>
      <c r="H157" s="7"/>
      <c r="I157" s="7"/>
    </row>
    <row r="158" spans="1:9" ht="15.75" x14ac:dyDescent="0.25">
      <c r="A158" s="7"/>
      <c r="B158" s="7"/>
      <c r="C158" s="7"/>
      <c r="D158" s="160">
        <f>F140</f>
        <v>0.28000000000000003</v>
      </c>
      <c r="E158" s="7"/>
      <c r="F158" s="7"/>
      <c r="G158" s="169"/>
      <c r="H158" s="7"/>
      <c r="I158" s="7"/>
    </row>
    <row r="159" spans="1:9" ht="15" customHeight="1" x14ac:dyDescent="0.25">
      <c r="A159" s="673" t="s">
        <v>125</v>
      </c>
      <c r="B159" s="673"/>
      <c r="C159" s="419"/>
      <c r="D159" s="673" t="s">
        <v>11</v>
      </c>
      <c r="E159" s="668" t="s">
        <v>49</v>
      </c>
      <c r="F159" s="668" t="s">
        <v>15</v>
      </c>
      <c r="G159" s="727" t="s">
        <v>6</v>
      </c>
      <c r="H159" s="7"/>
      <c r="I159" s="7"/>
    </row>
    <row r="160" spans="1:9" ht="15.75" x14ac:dyDescent="0.25">
      <c r="A160" s="673"/>
      <c r="B160" s="673"/>
      <c r="C160" s="419"/>
      <c r="D160" s="673"/>
      <c r="E160" s="669"/>
      <c r="F160" s="669"/>
      <c r="G160" s="728"/>
      <c r="H160" s="7"/>
      <c r="I160" s="7"/>
    </row>
    <row r="161" spans="1:9" ht="15.75" x14ac:dyDescent="0.25">
      <c r="A161" s="670">
        <v>1</v>
      </c>
      <c r="B161" s="672"/>
      <c r="C161" s="420"/>
      <c r="D161" s="419">
        <v>2</v>
      </c>
      <c r="E161" s="419">
        <v>3</v>
      </c>
      <c r="F161" s="419">
        <v>4</v>
      </c>
      <c r="G161" s="87" t="s">
        <v>70</v>
      </c>
      <c r="H161" s="7"/>
      <c r="I161" s="7"/>
    </row>
    <row r="162" spans="1:9" ht="15.75" x14ac:dyDescent="0.25">
      <c r="A162" s="675" t="str">
        <f>A48</f>
        <v>Суточные</v>
      </c>
      <c r="B162" s="676"/>
      <c r="C162" s="422"/>
      <c r="D162" s="419" t="str">
        <f>D48</f>
        <v>сутки</v>
      </c>
      <c r="E162" s="432">
        <f>5*4*D158</f>
        <v>5.6000000000000005</v>
      </c>
      <c r="F162" s="432">
        <f>F48</f>
        <v>450</v>
      </c>
      <c r="G162" s="87">
        <f>E162*F162</f>
        <v>2520.0000000000005</v>
      </c>
      <c r="H162" s="7"/>
      <c r="I162" s="7"/>
    </row>
    <row r="163" spans="1:9" ht="15.75" x14ac:dyDescent="0.25">
      <c r="A163" s="675" t="str">
        <f>A49</f>
        <v>Проезд</v>
      </c>
      <c r="B163" s="676"/>
      <c r="C163" s="422"/>
      <c r="D163" s="419" t="str">
        <f>D49</f>
        <v xml:space="preserve">Ед. </v>
      </c>
      <c r="E163" s="432">
        <f>5*D158</f>
        <v>1.4000000000000001</v>
      </c>
      <c r="F163" s="432">
        <f>F49</f>
        <v>6000</v>
      </c>
      <c r="G163" s="87">
        <f t="shared" ref="G163:G164" si="9">E163*F163</f>
        <v>8400</v>
      </c>
      <c r="H163" s="7"/>
      <c r="I163" s="7"/>
    </row>
    <row r="164" spans="1:9" ht="15.75" x14ac:dyDescent="0.25">
      <c r="A164" s="675" t="str">
        <f>A50</f>
        <v xml:space="preserve">Проживание </v>
      </c>
      <c r="B164" s="676"/>
      <c r="C164" s="422"/>
      <c r="D164" s="419" t="str">
        <f>D50</f>
        <v>сутки</v>
      </c>
      <c r="E164" s="432">
        <f>5*3*D158</f>
        <v>4.2</v>
      </c>
      <c r="F164" s="432">
        <f>F50</f>
        <v>1509</v>
      </c>
      <c r="G164" s="87">
        <f t="shared" si="9"/>
        <v>6337.8</v>
      </c>
      <c r="H164" s="7"/>
      <c r="I164" s="7"/>
    </row>
    <row r="165" spans="1:9" ht="18.75" x14ac:dyDescent="0.25">
      <c r="A165" s="677" t="s">
        <v>60</v>
      </c>
      <c r="B165" s="678"/>
      <c r="C165" s="427"/>
      <c r="D165" s="419"/>
      <c r="E165" s="83"/>
      <c r="F165" s="83"/>
      <c r="G165" s="454">
        <f>SUM(G162:G164)</f>
        <v>17257.8</v>
      </c>
      <c r="H165" s="7"/>
      <c r="I165" s="7"/>
    </row>
    <row r="166" spans="1:9" ht="15.75" x14ac:dyDescent="0.25">
      <c r="A166" s="693" t="s">
        <v>36</v>
      </c>
      <c r="B166" s="693"/>
      <c r="C166" s="693"/>
      <c r="D166" s="693"/>
      <c r="E166" s="693"/>
      <c r="F166" s="693"/>
      <c r="G166" s="191"/>
      <c r="H166" s="7"/>
      <c r="I166" s="7"/>
    </row>
    <row r="167" spans="1:9" ht="15.75" x14ac:dyDescent="0.25">
      <c r="A167" s="7"/>
      <c r="B167" s="7"/>
      <c r="C167" s="7"/>
      <c r="D167" s="167">
        <f>D158</f>
        <v>0.28000000000000003</v>
      </c>
      <c r="E167" s="7"/>
      <c r="F167" s="7"/>
      <c r="G167" s="169"/>
      <c r="H167" s="7"/>
      <c r="I167" s="7"/>
    </row>
    <row r="168" spans="1:9" ht="30" customHeight="1" x14ac:dyDescent="0.25">
      <c r="A168" s="673" t="s">
        <v>24</v>
      </c>
      <c r="B168" s="673" t="s">
        <v>11</v>
      </c>
      <c r="C168" s="419"/>
      <c r="D168" s="673" t="s">
        <v>49</v>
      </c>
      <c r="E168" s="673" t="s">
        <v>94</v>
      </c>
      <c r="F168" s="668" t="s">
        <v>181</v>
      </c>
      <c r="G168" s="727" t="s">
        <v>6</v>
      </c>
      <c r="H168" s="7"/>
      <c r="I168" s="7"/>
    </row>
    <row r="169" spans="1:9" ht="15.75" customHeight="1" x14ac:dyDescent="0.25">
      <c r="A169" s="673"/>
      <c r="B169" s="673"/>
      <c r="C169" s="419"/>
      <c r="D169" s="673"/>
      <c r="E169" s="673"/>
      <c r="F169" s="669"/>
      <c r="G169" s="728"/>
      <c r="H169" s="7"/>
      <c r="I169" s="7"/>
    </row>
    <row r="170" spans="1:9" ht="15.75" x14ac:dyDescent="0.25">
      <c r="A170" s="419">
        <v>1</v>
      </c>
      <c r="B170" s="419">
        <v>2</v>
      </c>
      <c r="C170" s="419"/>
      <c r="D170" s="419">
        <v>3</v>
      </c>
      <c r="E170" s="419">
        <v>4</v>
      </c>
      <c r="F170" s="419">
        <v>5</v>
      </c>
      <c r="G170" s="82" t="s">
        <v>71</v>
      </c>
      <c r="H170" s="7"/>
      <c r="I170" s="7"/>
    </row>
    <row r="171" spans="1:9" ht="21.75" customHeight="1" x14ac:dyDescent="0.25">
      <c r="A171" s="55" t="str">
        <f>'инновации+добровольчество0,41'!A246</f>
        <v>переговоры по району, мин</v>
      </c>
      <c r="B171" s="403" t="s">
        <v>22</v>
      </c>
      <c r="C171" s="419"/>
      <c r="D171" s="364">
        <f>110.71*D167</f>
        <v>30.998800000000003</v>
      </c>
      <c r="E171" s="404">
        <f>'инновации+добровольчество0,41'!E246</f>
        <v>6.6</v>
      </c>
      <c r="F171" s="403">
        <v>12</v>
      </c>
      <c r="G171" s="82">
        <f>D171*E171*F171</f>
        <v>2455.1049600000001</v>
      </c>
      <c r="H171" s="7"/>
      <c r="I171" s="7"/>
    </row>
    <row r="172" spans="1:9" ht="15.75" x14ac:dyDescent="0.25">
      <c r="A172" s="55" t="str">
        <f>'инновации+добровольчество0,41'!A247</f>
        <v>Переговоры за пределами района,мин</v>
      </c>
      <c r="B172" s="403" t="s">
        <v>22</v>
      </c>
      <c r="C172" s="419"/>
      <c r="D172" s="361">
        <f>10.02*D167</f>
        <v>2.8056000000000001</v>
      </c>
      <c r="E172" s="404">
        <f>'инновации+добровольчество0,41'!E247</f>
        <v>15</v>
      </c>
      <c r="F172" s="403">
        <v>12</v>
      </c>
      <c r="G172" s="82">
        <f t="shared" ref="G172:G174" si="10">D172*E172*F172</f>
        <v>505.00800000000004</v>
      </c>
      <c r="H172" s="7"/>
      <c r="I172" s="7"/>
    </row>
    <row r="173" spans="1:9" ht="15.75" x14ac:dyDescent="0.25">
      <c r="A173" s="55" t="str">
        <f>'инновации+добровольчество0,41'!A248</f>
        <v>Абоненская плата за услуги связи, номеров</v>
      </c>
      <c r="B173" s="403" t="s">
        <v>22</v>
      </c>
      <c r="C173" s="419"/>
      <c r="D173" s="362">
        <f>1*D167</f>
        <v>0.28000000000000003</v>
      </c>
      <c r="E173" s="404">
        <f>'инновации+добровольчество0,41'!E248</f>
        <v>2183</v>
      </c>
      <c r="F173" s="403">
        <v>12</v>
      </c>
      <c r="G173" s="82">
        <f t="shared" si="10"/>
        <v>7334.88</v>
      </c>
      <c r="H173" s="7"/>
      <c r="I173" s="7"/>
    </row>
    <row r="174" spans="1:9" ht="15.75" x14ac:dyDescent="0.25">
      <c r="A174" s="55" t="str">
        <f>'инновации+добровольчество0,41'!A249</f>
        <v xml:space="preserve">Абоненская плата за услуги Интернет </v>
      </c>
      <c r="B174" s="403" t="s">
        <v>22</v>
      </c>
      <c r="C174" s="419"/>
      <c r="D174" s="362">
        <f>1*D167</f>
        <v>0.28000000000000003</v>
      </c>
      <c r="E174" s="404">
        <f>'инновации+добровольчество0,41'!E249</f>
        <v>8166.67</v>
      </c>
      <c r="F174" s="403">
        <v>12</v>
      </c>
      <c r="G174" s="82">
        <f t="shared" si="10"/>
        <v>27440.011200000001</v>
      </c>
      <c r="H174" s="7"/>
      <c r="I174" s="7"/>
    </row>
    <row r="175" spans="1:9" ht="15.75" x14ac:dyDescent="0.25">
      <c r="A175" s="55" t="str">
        <f>'инновации+добровольчество0,41'!A250</f>
        <v>Почтовые конверты</v>
      </c>
      <c r="B175" s="403" t="s">
        <v>88</v>
      </c>
      <c r="C175" s="419"/>
      <c r="D175" s="362">
        <f>170*D167</f>
        <v>47.6</v>
      </c>
      <c r="E175" s="404">
        <f>'инновации+добровольчество0,41'!E250</f>
        <v>30.77</v>
      </c>
      <c r="F175" s="403">
        <v>1</v>
      </c>
      <c r="G175" s="82">
        <f>D175*E175*F175+0.34</f>
        <v>1464.992</v>
      </c>
      <c r="H175" s="7"/>
      <c r="I175" s="7"/>
    </row>
    <row r="176" spans="1:9" ht="18.75" x14ac:dyDescent="0.3">
      <c r="A176" s="724" t="s">
        <v>26</v>
      </c>
      <c r="B176" s="725"/>
      <c r="C176" s="725"/>
      <c r="D176" s="725"/>
      <c r="E176" s="725"/>
      <c r="F176" s="726"/>
      <c r="G176" s="384">
        <f>SUM(G171:G175)</f>
        <v>39199.996159999995</v>
      </c>
      <c r="H176" s="7"/>
      <c r="I176" s="7"/>
    </row>
    <row r="177" spans="1:9" ht="15.75" x14ac:dyDescent="0.25">
      <c r="A177" s="693" t="s">
        <v>57</v>
      </c>
      <c r="B177" s="693"/>
      <c r="C177" s="693"/>
      <c r="D177" s="693"/>
      <c r="E177" s="693"/>
      <c r="F177" s="693"/>
      <c r="G177" s="169"/>
      <c r="H177" s="7"/>
      <c r="I177" s="7"/>
    </row>
    <row r="178" spans="1:9" ht="15.75" x14ac:dyDescent="0.25">
      <c r="A178" s="7"/>
      <c r="B178" s="7"/>
      <c r="C178" s="7"/>
      <c r="D178" s="167">
        <f>D167</f>
        <v>0.28000000000000003</v>
      </c>
      <c r="E178" s="7"/>
      <c r="F178" s="7"/>
      <c r="G178" s="169"/>
      <c r="H178" s="7"/>
      <c r="I178" s="7"/>
    </row>
    <row r="179" spans="1:9" ht="10.15" customHeight="1" x14ac:dyDescent="0.25">
      <c r="A179" s="673" t="s">
        <v>200</v>
      </c>
      <c r="B179" s="673" t="s">
        <v>11</v>
      </c>
      <c r="C179" s="419"/>
      <c r="D179" s="673" t="s">
        <v>49</v>
      </c>
      <c r="E179" s="673" t="s">
        <v>95</v>
      </c>
      <c r="F179" s="673" t="s">
        <v>25</v>
      </c>
      <c r="G179" s="727" t="s">
        <v>6</v>
      </c>
      <c r="H179" s="7"/>
      <c r="I179" s="7"/>
    </row>
    <row r="180" spans="1:9" ht="4.1500000000000004" customHeight="1" x14ac:dyDescent="0.25">
      <c r="A180" s="673"/>
      <c r="B180" s="673"/>
      <c r="C180" s="419"/>
      <c r="D180" s="673"/>
      <c r="E180" s="673"/>
      <c r="F180" s="673"/>
      <c r="G180" s="728"/>
      <c r="H180" s="7"/>
      <c r="I180" s="7"/>
    </row>
    <row r="181" spans="1:9" ht="15.75" x14ac:dyDescent="0.25">
      <c r="A181" s="419">
        <v>1</v>
      </c>
      <c r="B181" s="419">
        <v>2</v>
      </c>
      <c r="C181" s="419"/>
      <c r="D181" s="419">
        <v>3</v>
      </c>
      <c r="E181" s="419">
        <v>4</v>
      </c>
      <c r="F181" s="419">
        <v>5</v>
      </c>
      <c r="G181" s="82" t="s">
        <v>72</v>
      </c>
      <c r="H181" s="7"/>
      <c r="I181" s="7"/>
    </row>
    <row r="182" spans="1:9" ht="15.75" hidden="1" x14ac:dyDescent="0.25">
      <c r="A182" s="76" t="str">
        <f>'инновации+добровольчество0,41'!A257</f>
        <v>Проезд к месту учебы</v>
      </c>
      <c r="B182" s="419" t="s">
        <v>126</v>
      </c>
      <c r="C182" s="419"/>
      <c r="D182" s="419"/>
      <c r="E182" s="419"/>
      <c r="F182" s="419"/>
      <c r="G182" s="82"/>
      <c r="H182" s="7"/>
      <c r="I182" s="7"/>
    </row>
    <row r="183" spans="1:9" ht="15.75" x14ac:dyDescent="0.25">
      <c r="A183" s="73" t="s">
        <v>182</v>
      </c>
      <c r="B183" s="419" t="s">
        <v>22</v>
      </c>
      <c r="C183" s="419"/>
      <c r="D183" s="419">
        <f>1*D178</f>
        <v>0.28000000000000003</v>
      </c>
      <c r="E183" s="419">
        <f>'инновации+добровольчество0,41'!E258</f>
        <v>19000</v>
      </c>
      <c r="F183" s="419">
        <v>1</v>
      </c>
      <c r="G183" s="82">
        <f>D183*E183*F183</f>
        <v>5320.0000000000009</v>
      </c>
      <c r="H183" s="7"/>
      <c r="I183" s="7"/>
    </row>
    <row r="184" spans="1:9" ht="18.75" x14ac:dyDescent="0.25">
      <c r="A184" s="724" t="s">
        <v>58</v>
      </c>
      <c r="B184" s="725"/>
      <c r="C184" s="725"/>
      <c r="D184" s="725"/>
      <c r="E184" s="725"/>
      <c r="F184" s="726"/>
      <c r="G184" s="455">
        <f>SUM(G182:G183)</f>
        <v>5320.0000000000009</v>
      </c>
      <c r="H184" s="7"/>
      <c r="I184" s="7"/>
    </row>
    <row r="185" spans="1:9" ht="15.75" x14ac:dyDescent="0.25">
      <c r="A185" s="729" t="s">
        <v>19</v>
      </c>
      <c r="B185" s="729"/>
      <c r="C185" s="729"/>
      <c r="D185" s="729"/>
      <c r="E185" s="729"/>
      <c r="F185" s="729"/>
      <c r="G185" s="169"/>
      <c r="H185" s="7"/>
      <c r="I185" s="7"/>
    </row>
    <row r="186" spans="1:9" ht="15.75" x14ac:dyDescent="0.25">
      <c r="A186" s="7"/>
      <c r="B186" s="7"/>
      <c r="C186" s="7"/>
      <c r="D186" s="167">
        <f>D178</f>
        <v>0.28000000000000003</v>
      </c>
      <c r="E186" s="7"/>
      <c r="F186" s="7"/>
      <c r="G186" s="169"/>
      <c r="H186" s="7"/>
      <c r="I186" s="7"/>
    </row>
    <row r="187" spans="1:9" ht="3.6" customHeight="1" x14ac:dyDescent="0.25">
      <c r="A187" s="673" t="s">
        <v>21</v>
      </c>
      <c r="B187" s="673" t="s">
        <v>11</v>
      </c>
      <c r="C187" s="419"/>
      <c r="D187" s="673" t="s">
        <v>14</v>
      </c>
      <c r="E187" s="673" t="s">
        <v>94</v>
      </c>
      <c r="F187" s="673" t="s">
        <v>6</v>
      </c>
      <c r="G187" s="169"/>
      <c r="H187" s="7"/>
      <c r="I187" s="7"/>
    </row>
    <row r="188" spans="1:9" ht="24" customHeight="1" x14ac:dyDescent="0.25">
      <c r="A188" s="673"/>
      <c r="B188" s="673"/>
      <c r="C188" s="419"/>
      <c r="D188" s="673"/>
      <c r="E188" s="673"/>
      <c r="F188" s="673"/>
      <c r="G188" s="169"/>
      <c r="H188" s="7"/>
      <c r="I188" s="7"/>
    </row>
    <row r="189" spans="1:9" ht="16.5" thickBot="1" x14ac:dyDescent="0.3">
      <c r="A189" s="419">
        <v>1</v>
      </c>
      <c r="B189" s="419">
        <v>2</v>
      </c>
      <c r="C189" s="419"/>
      <c r="D189" s="419">
        <v>3</v>
      </c>
      <c r="E189" s="419">
        <v>7</v>
      </c>
      <c r="F189" s="419" t="s">
        <v>179</v>
      </c>
      <c r="G189" s="169"/>
      <c r="H189" s="7"/>
      <c r="I189" s="7"/>
    </row>
    <row r="190" spans="1:9" ht="15.75" x14ac:dyDescent="0.25">
      <c r="A190" s="76" t="str">
        <f>'инновации+добровольчество0,41'!A266</f>
        <v xml:space="preserve">Мониторинг систем пожарной сигнализации  </v>
      </c>
      <c r="B190" s="419" t="str">
        <f>'инновации+добровольчество0,41'!B266</f>
        <v>договор</v>
      </c>
      <c r="C190" s="419"/>
      <c r="D190" s="449">
        <f>12*0.28</f>
        <v>3.3600000000000003</v>
      </c>
      <c r="E190" s="419">
        <f>'инновации+добровольчество0,41'!E266</f>
        <v>2000</v>
      </c>
      <c r="F190" s="419">
        <f>D190*E190</f>
        <v>6720.0000000000009</v>
      </c>
      <c r="G190" s="169"/>
      <c r="H190" s="7"/>
      <c r="I190" s="7"/>
    </row>
    <row r="191" spans="1:9" ht="15.75" x14ac:dyDescent="0.25">
      <c r="A191" s="76" t="str">
        <f>'инновации+добровольчество0,41'!A267</f>
        <v xml:space="preserve">Уборка территории от снега </v>
      </c>
      <c r="B191" s="419" t="str">
        <f>'инновации+добровольчество0,41'!B267</f>
        <v>договор</v>
      </c>
      <c r="C191" s="419"/>
      <c r="D191" s="159">
        <f>2*0.28</f>
        <v>0.56000000000000005</v>
      </c>
      <c r="E191" s="419">
        <f>'инновации+добровольчество0,41'!E267</f>
        <v>30000</v>
      </c>
      <c r="F191" s="432">
        <f t="shared" ref="F191:F215" si="11">D191*E191</f>
        <v>16800</v>
      </c>
      <c r="G191" s="169"/>
      <c r="H191" s="7"/>
      <c r="I191" s="7"/>
    </row>
    <row r="192" spans="1:9" ht="15.75" x14ac:dyDescent="0.25">
      <c r="A192" s="76" t="str">
        <f>'инновации+добровольчество0,41'!A268</f>
        <v>Профилактическая дезинфекция</v>
      </c>
      <c r="B192" s="419" t="str">
        <f>'инновации+добровольчество0,41'!B268</f>
        <v>договор</v>
      </c>
      <c r="C192" s="419"/>
      <c r="D192" s="159">
        <v>0.28000000000000003</v>
      </c>
      <c r="E192" s="419">
        <f>'инновации+добровольчество0,41'!E268</f>
        <v>6602.4</v>
      </c>
      <c r="F192" s="432">
        <f t="shared" si="11"/>
        <v>1848.672</v>
      </c>
      <c r="G192" s="169"/>
      <c r="H192" s="7"/>
      <c r="I192" s="7"/>
    </row>
    <row r="193" spans="1:9" ht="15.75" x14ac:dyDescent="0.25">
      <c r="A193" s="76" t="str">
        <f>'инновации+добровольчество0,41'!A269</f>
        <v>Изготовление окна регистрации</v>
      </c>
      <c r="B193" s="419" t="str">
        <f>'инновации+добровольчество0,41'!B269</f>
        <v>договор</v>
      </c>
      <c r="C193" s="419"/>
      <c r="D193" s="159">
        <v>0.28000000000000003</v>
      </c>
      <c r="E193" s="419">
        <f>'инновации+добровольчество0,41'!E269</f>
        <v>9040</v>
      </c>
      <c r="F193" s="432">
        <f t="shared" si="11"/>
        <v>2531.2000000000003</v>
      </c>
      <c r="G193" s="169"/>
      <c r="H193" s="7"/>
      <c r="I193" s="7"/>
    </row>
    <row r="194" spans="1:9" ht="31.5" x14ac:dyDescent="0.25">
      <c r="A194" s="76" t="str">
        <f>'инновации+добровольчество0,41'!A270</f>
        <v>Замена аккумулятора охранной сигнализации</v>
      </c>
      <c r="B194" s="419" t="str">
        <f>'инновации+добровольчество0,41'!B270</f>
        <v>договор</v>
      </c>
      <c r="C194" s="419"/>
      <c r="D194" s="159">
        <v>0.28000000000000003</v>
      </c>
      <c r="E194" s="419">
        <f>'инновации+добровольчество0,41'!E270</f>
        <v>1200</v>
      </c>
      <c r="F194" s="432">
        <f t="shared" si="11"/>
        <v>336.00000000000006</v>
      </c>
      <c r="G194" s="169"/>
      <c r="H194" s="7"/>
      <c r="I194" s="7"/>
    </row>
    <row r="195" spans="1:9" ht="15.75" x14ac:dyDescent="0.25">
      <c r="A195" s="7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B195" s="419" t="str">
        <f>'инновации+добровольчество0,41'!B271</f>
        <v>договор</v>
      </c>
      <c r="C195" s="419"/>
      <c r="D195" s="159">
        <f>1*0.28</f>
        <v>0.28000000000000003</v>
      </c>
      <c r="E195" s="419">
        <f>'инновации+добровольчество0,41'!E271</f>
        <v>0</v>
      </c>
      <c r="F195" s="432">
        <f t="shared" si="11"/>
        <v>0</v>
      </c>
      <c r="G195" s="169"/>
      <c r="H195" s="7"/>
      <c r="I195" s="7"/>
    </row>
    <row r="196" spans="1:9" ht="15.75" x14ac:dyDescent="0.25">
      <c r="A196" s="76" t="str">
        <f>'инновации+добровольчество0,41'!A272</f>
        <v>Договор осмотр технического состояния автомобиля</v>
      </c>
      <c r="B196" s="419" t="str">
        <f>'инновации+добровольчество0,41'!B272</f>
        <v>договор</v>
      </c>
      <c r="C196" s="419"/>
      <c r="D196" s="365">
        <f>85*0.28</f>
        <v>23.8</v>
      </c>
      <c r="E196" s="419">
        <f>'инновации+добровольчество0,41'!E272</f>
        <v>175.75</v>
      </c>
      <c r="F196" s="432">
        <f t="shared" si="11"/>
        <v>4182.8500000000004</v>
      </c>
      <c r="G196" s="169"/>
      <c r="H196" s="7"/>
      <c r="I196" s="7"/>
    </row>
    <row r="197" spans="1:9" ht="15.75" x14ac:dyDescent="0.25">
      <c r="A197" s="76" t="str">
        <f>'инновации+добровольчество0,41'!A273</f>
        <v>Техническое обслуживание систем пожарной сигнализации</v>
      </c>
      <c r="B197" s="419" t="str">
        <f>'инновации+добровольчество0,41'!B273</f>
        <v>договор</v>
      </c>
      <c r="C197" s="419"/>
      <c r="D197" s="450">
        <f>12*0.28</f>
        <v>3.3600000000000003</v>
      </c>
      <c r="E197" s="419">
        <f>'инновации+добровольчество0,41'!E273</f>
        <v>1000</v>
      </c>
      <c r="F197" s="432">
        <f t="shared" si="11"/>
        <v>3360.0000000000005</v>
      </c>
      <c r="G197" s="169"/>
      <c r="H197" s="7"/>
      <c r="I197" s="7"/>
    </row>
    <row r="198" spans="1:9" ht="15.75" x14ac:dyDescent="0.25">
      <c r="A198" s="76" t="str">
        <f>'инновации+добровольчество0,41'!A274</f>
        <v>Заправка катриджей</v>
      </c>
      <c r="B198" s="419" t="str">
        <f>'инновации+добровольчество0,41'!B274</f>
        <v>договор</v>
      </c>
      <c r="C198" s="419"/>
      <c r="D198" s="450">
        <f>10*0.28</f>
        <v>2.8000000000000003</v>
      </c>
      <c r="E198" s="419">
        <f>'инновации+добровольчество0,41'!E274</f>
        <v>700</v>
      </c>
      <c r="F198" s="432">
        <f t="shared" si="11"/>
        <v>1960.0000000000002</v>
      </c>
      <c r="G198" s="169"/>
      <c r="H198" s="7"/>
      <c r="I198" s="7"/>
    </row>
    <row r="199" spans="1:9" ht="15.75" x14ac:dyDescent="0.25">
      <c r="A199" s="446" t="str">
        <f>'инновации+добровольчество0,41'!A275</f>
        <v xml:space="preserve">ремонта отмостки и крылец здания МБУ «МЦ АУРУМ». </v>
      </c>
      <c r="B199" s="415" t="str">
        <f>'инновации+добровольчество0,41'!B275</f>
        <v>договор</v>
      </c>
      <c r="C199" s="415"/>
      <c r="D199" s="450">
        <v>0.28000000000000003</v>
      </c>
      <c r="E199" s="419">
        <f>'инновации+добровольчество0,41'!E275</f>
        <v>94999.97</v>
      </c>
      <c r="F199" s="432">
        <f t="shared" si="11"/>
        <v>26599.991600000001</v>
      </c>
      <c r="G199" s="169"/>
      <c r="H199" s="7"/>
      <c r="I199" s="7"/>
    </row>
    <row r="200" spans="1:9" ht="15.75" x14ac:dyDescent="0.25">
      <c r="A200" s="76">
        <f>'инновации+добровольчество0,41'!A276</f>
        <v>0</v>
      </c>
      <c r="B200" s="419" t="str">
        <f>'инновации+добровольчество0,41'!B276</f>
        <v>договор</v>
      </c>
      <c r="C200" s="419"/>
      <c r="D200" s="365">
        <v>0.28000000000000003</v>
      </c>
      <c r="E200" s="419">
        <f>'инновации+добровольчество0,41'!E276</f>
        <v>155.71</v>
      </c>
      <c r="F200" s="432">
        <f t="shared" si="11"/>
        <v>43.598800000000004</v>
      </c>
      <c r="G200" s="169"/>
      <c r="H200" s="7"/>
      <c r="I200" s="7"/>
    </row>
    <row r="201" spans="1:9" ht="15.75" x14ac:dyDescent="0.25">
      <c r="A201" s="76" t="str">
        <f>'инновации+добровольчество0,41'!A277</f>
        <v>промывка и опрессовка</v>
      </c>
      <c r="B201" s="419" t="str">
        <f>'инновации+добровольчество0,41'!B277</f>
        <v>договор</v>
      </c>
      <c r="C201" s="419"/>
      <c r="D201" s="365">
        <f>1*0.28</f>
        <v>0.28000000000000003</v>
      </c>
      <c r="E201" s="419">
        <f>'инновации+добровольчество0,41'!E277</f>
        <v>9763.17</v>
      </c>
      <c r="F201" s="432">
        <f t="shared" si="11"/>
        <v>2733.6876000000002</v>
      </c>
      <c r="G201" s="169"/>
      <c r="H201" s="7"/>
      <c r="I201" s="7"/>
    </row>
    <row r="202" spans="1:9" ht="15.75" x14ac:dyDescent="0.25">
      <c r="A202" s="76" t="str">
        <f>'инновации+добровольчество0,41'!A278</f>
        <v>Обучение электроустановки</v>
      </c>
      <c r="B202" s="492" t="str">
        <f>'инновации+добровольчество0,41'!B278</f>
        <v>договор</v>
      </c>
      <c r="C202" s="491"/>
      <c r="D202" s="365">
        <f>2*0.28</f>
        <v>0.56000000000000005</v>
      </c>
      <c r="E202" s="492">
        <f>'инновации+добровольчество0,41'!E278</f>
        <v>8800</v>
      </c>
      <c r="F202" s="493">
        <f t="shared" si="11"/>
        <v>4928.0000000000009</v>
      </c>
      <c r="G202" s="169"/>
      <c r="H202" s="7"/>
      <c r="I202" s="7"/>
    </row>
    <row r="203" spans="1:9" ht="15.75" x14ac:dyDescent="0.25">
      <c r="A203" s="76" t="str">
        <f>'инновации+добровольчество0,41'!A279</f>
        <v>обучение молодежная политика</v>
      </c>
      <c r="B203" s="492" t="str">
        <f>'инновации+добровольчество0,41'!B279</f>
        <v>договор</v>
      </c>
      <c r="C203" s="491"/>
      <c r="D203" s="365">
        <f t="shared" ref="D203:D213" si="12">1*0.28</f>
        <v>0.28000000000000003</v>
      </c>
      <c r="E203" s="492">
        <f>'инновации+добровольчество0,41'!E279</f>
        <v>2000</v>
      </c>
      <c r="F203" s="493">
        <f t="shared" si="11"/>
        <v>560</v>
      </c>
      <c r="G203" s="169"/>
      <c r="H203" s="7"/>
      <c r="I203" s="7"/>
    </row>
    <row r="204" spans="1:9" ht="15.75" x14ac:dyDescent="0.25">
      <c r="A204" s="76" t="str">
        <f>'инновации+добровольчество0,41'!A280</f>
        <v>обучение персонала</v>
      </c>
      <c r="B204" s="492" t="str">
        <f>'инновации+добровольчество0,41'!B280</f>
        <v>договор</v>
      </c>
      <c r="C204" s="491"/>
      <c r="D204" s="365">
        <f>2*0.28</f>
        <v>0.56000000000000005</v>
      </c>
      <c r="E204" s="492">
        <f>'инновации+добровольчество0,41'!E280</f>
        <v>25900</v>
      </c>
      <c r="F204" s="493">
        <f t="shared" si="11"/>
        <v>14504.000000000002</v>
      </c>
      <c r="G204" s="169"/>
      <c r="H204" s="7"/>
      <c r="I204" s="7"/>
    </row>
    <row r="205" spans="1:9" ht="15.75" x14ac:dyDescent="0.25">
      <c r="A205" s="76" t="str">
        <f>'инновации+добровольчество0,41'!A281</f>
        <v>Возмещение мед осмотра (112/212)</v>
      </c>
      <c r="B205" s="492" t="str">
        <f>'инновации+добровольчество0,41'!B281</f>
        <v>договор</v>
      </c>
      <c r="C205" s="491"/>
      <c r="D205" s="365">
        <f t="shared" si="12"/>
        <v>0.28000000000000003</v>
      </c>
      <c r="E205" s="492">
        <f>'инновации+добровольчество0,41'!E281</f>
        <v>2947</v>
      </c>
      <c r="F205" s="493">
        <f t="shared" si="11"/>
        <v>825.16000000000008</v>
      </c>
      <c r="G205" s="169"/>
      <c r="H205" s="7"/>
      <c r="I205" s="7"/>
    </row>
    <row r="206" spans="1:9" ht="15.75" x14ac:dyDescent="0.25">
      <c r="A206" s="76" t="str">
        <f>'инновации+добровольчество0,41'!A282</f>
        <v>Услуги СЕМИС подписка</v>
      </c>
      <c r="B206" s="492" t="str">
        <f>'инновации+добровольчество0,41'!B282</f>
        <v>договор</v>
      </c>
      <c r="C206" s="491"/>
      <c r="D206" s="365">
        <f t="shared" si="12"/>
        <v>0.28000000000000003</v>
      </c>
      <c r="E206" s="492">
        <f>'инновации+добровольчество0,41'!E282</f>
        <v>765</v>
      </c>
      <c r="F206" s="493">
        <f t="shared" si="11"/>
        <v>214.20000000000002</v>
      </c>
      <c r="G206" s="169"/>
      <c r="H206" s="7"/>
      <c r="I206" s="7"/>
    </row>
    <row r="207" spans="1:9" ht="31.5" x14ac:dyDescent="0.25">
      <c r="A207" s="76" t="str">
        <f>'инновации+добровольчество0,41'!A283</f>
        <v>Изготовление полка двухуровневого для создания открытого пространства</v>
      </c>
      <c r="B207" s="492" t="str">
        <f>'инновации+добровольчество0,41'!B283</f>
        <v>договор</v>
      </c>
      <c r="C207" s="491"/>
      <c r="D207" s="365">
        <f t="shared" si="12"/>
        <v>0.28000000000000003</v>
      </c>
      <c r="E207" s="492">
        <f>'инновации+добровольчество0,41'!E283</f>
        <v>43180</v>
      </c>
      <c r="F207" s="493">
        <f t="shared" si="11"/>
        <v>12090.400000000001</v>
      </c>
      <c r="G207" s="169"/>
      <c r="H207" s="7"/>
      <c r="I207" s="7"/>
    </row>
    <row r="208" spans="1:9" ht="15.75" x14ac:dyDescent="0.25">
      <c r="A208" s="76" t="str">
        <f>'инновации+добровольчество0,41'!A284</f>
        <v>Предрейсовое медицинское обследование 200дней*85руб</v>
      </c>
      <c r="B208" s="492" t="str">
        <f>'инновации+добровольчество0,41'!B284</f>
        <v>договор</v>
      </c>
      <c r="C208" s="491"/>
      <c r="D208" s="365">
        <f>200*0.28</f>
        <v>56.000000000000007</v>
      </c>
      <c r="E208" s="492">
        <f>'инновации+добровольчество0,41'!E284</f>
        <v>85</v>
      </c>
      <c r="F208" s="493">
        <f t="shared" si="11"/>
        <v>4760.0000000000009</v>
      </c>
      <c r="G208" s="169"/>
      <c r="H208" s="7"/>
      <c r="I208" s="7"/>
    </row>
    <row r="209" spans="1:9" ht="15.75" x14ac:dyDescent="0.25">
      <c r="A209" s="76" t="str">
        <f>'инновации+добровольчество0,41'!A285</f>
        <v xml:space="preserve">Услуги охраны  </v>
      </c>
      <c r="B209" s="492" t="str">
        <f>'инновации+добровольчество0,41'!B285</f>
        <v>договор</v>
      </c>
      <c r="C209" s="491"/>
      <c r="D209" s="365">
        <f>12*0.28</f>
        <v>3.3600000000000003</v>
      </c>
      <c r="E209" s="492">
        <f>'инновации+добровольчество0,41'!E285</f>
        <v>8000</v>
      </c>
      <c r="F209" s="493">
        <f t="shared" si="11"/>
        <v>26880.000000000004</v>
      </c>
      <c r="G209" s="169"/>
      <c r="H209" s="7"/>
      <c r="I209" s="7"/>
    </row>
    <row r="210" spans="1:9" ht="31.5" x14ac:dyDescent="0.25">
      <c r="A210" s="76" t="str">
        <f>'инновации+добровольчество0,41'!A286</f>
        <v>Обслуживание систем охранных средств сигнализации (тревожная кнопка)</v>
      </c>
      <c r="B210" s="492" t="str">
        <f>'инновации+добровольчество0,41'!B286</f>
        <v>договор</v>
      </c>
      <c r="C210" s="491"/>
      <c r="D210" s="365">
        <f>12*0.28</f>
        <v>3.3600000000000003</v>
      </c>
      <c r="E210" s="492">
        <f>'инновации+добровольчество0,41'!E286</f>
        <v>5000</v>
      </c>
      <c r="F210" s="493">
        <f t="shared" si="11"/>
        <v>16800</v>
      </c>
      <c r="G210" s="169"/>
      <c r="H210" s="7"/>
      <c r="I210" s="7"/>
    </row>
    <row r="211" spans="1:9" ht="15.75" x14ac:dyDescent="0.25">
      <c r="A211" s="76" t="str">
        <f>'инновации+добровольчество0,41'!A287</f>
        <v>Изготовление декоративного камина</v>
      </c>
      <c r="B211" s="492" t="str">
        <f>'инновации+добровольчество0,41'!B287</f>
        <v>договор</v>
      </c>
      <c r="C211" s="491"/>
      <c r="D211" s="365">
        <f t="shared" si="12"/>
        <v>0.28000000000000003</v>
      </c>
      <c r="E211" s="492">
        <f>'инновации+добровольчество0,41'!E287</f>
        <v>35000</v>
      </c>
      <c r="F211" s="493">
        <f t="shared" si="11"/>
        <v>9800.0000000000018</v>
      </c>
      <c r="G211" s="169"/>
      <c r="H211" s="7"/>
      <c r="I211" s="7"/>
    </row>
    <row r="212" spans="1:9" ht="15.75" x14ac:dyDescent="0.25">
      <c r="A212" s="76" t="str">
        <f>'инновации+добровольчество0,41'!A288</f>
        <v>Организация питания воинов-интернационалистов</v>
      </c>
      <c r="B212" s="492" t="str">
        <f>'инновации+добровольчество0,41'!B288</f>
        <v>договор</v>
      </c>
      <c r="C212" s="491"/>
      <c r="D212" s="365">
        <f t="shared" si="12"/>
        <v>0.28000000000000003</v>
      </c>
      <c r="E212" s="492">
        <f>'инновации+добровольчество0,41'!E288</f>
        <v>23825</v>
      </c>
      <c r="F212" s="493">
        <f t="shared" si="11"/>
        <v>6671.0000000000009</v>
      </c>
      <c r="G212" s="169"/>
      <c r="H212" s="7"/>
      <c r="I212" s="7"/>
    </row>
    <row r="213" spans="1:9" ht="15.75" x14ac:dyDescent="0.25">
      <c r="A213" s="76" t="str">
        <f>'инновации+добровольчество0,41'!A289</f>
        <v>изготовление металлической фигуры медведя (ГПХ)</v>
      </c>
      <c r="B213" s="492" t="str">
        <f>'инновации+добровольчество0,41'!B289</f>
        <v>договор</v>
      </c>
      <c r="C213" s="491"/>
      <c r="D213" s="365">
        <f t="shared" si="12"/>
        <v>0.28000000000000003</v>
      </c>
      <c r="E213" s="492">
        <f>'инновации+добровольчество0,41'!E289</f>
        <v>19983</v>
      </c>
      <c r="F213" s="493">
        <f t="shared" si="11"/>
        <v>5595.2400000000007</v>
      </c>
      <c r="G213" s="169"/>
      <c r="H213" s="7"/>
      <c r="I213" s="7"/>
    </row>
    <row r="214" spans="1:9" ht="15.75" x14ac:dyDescent="0.25">
      <c r="A214" s="76" t="str">
        <f>'инновации+добровольчество0,41'!A290</f>
        <v>Microsoft Windows 10</v>
      </c>
      <c r="B214" s="492" t="str">
        <f>'инновации+добровольчество0,41'!B290</f>
        <v>договор</v>
      </c>
      <c r="C214" s="416"/>
      <c r="D214" s="365">
        <f>2*0.28</f>
        <v>0.56000000000000005</v>
      </c>
      <c r="E214" s="492">
        <f>'инновации+добровольчество0,41'!E290</f>
        <v>7400</v>
      </c>
      <c r="F214" s="493">
        <f t="shared" si="11"/>
        <v>4144</v>
      </c>
      <c r="G214" s="169"/>
      <c r="H214" s="7"/>
      <c r="I214" s="7"/>
    </row>
    <row r="215" spans="1:9" ht="15.75" x14ac:dyDescent="0.25">
      <c r="A215" s="76" t="str">
        <f>'инновации+добровольчество0,41'!A291</f>
        <v>Microsoft Office 2013</v>
      </c>
      <c r="B215" s="492" t="str">
        <f>'инновации+добровольчество0,41'!B291</f>
        <v>договор</v>
      </c>
      <c r="C215" s="419"/>
      <c r="D215" s="365">
        <f>2*0.28</f>
        <v>0.56000000000000005</v>
      </c>
      <c r="E215" s="492">
        <f>'инновации+добровольчество0,41'!E291</f>
        <v>5250</v>
      </c>
      <c r="F215" s="493">
        <f t="shared" si="11"/>
        <v>2940.0000000000005</v>
      </c>
      <c r="G215" s="169"/>
      <c r="H215" s="7"/>
      <c r="I215" s="7"/>
    </row>
    <row r="216" spans="1:9" ht="18.75" x14ac:dyDescent="0.25">
      <c r="A216" s="690" t="s">
        <v>23</v>
      </c>
      <c r="B216" s="691"/>
      <c r="C216" s="691"/>
      <c r="D216" s="691"/>
      <c r="E216" s="692"/>
      <c r="F216" s="456">
        <f>SUM(F190:F215)</f>
        <v>177828</v>
      </c>
      <c r="G216" s="169"/>
      <c r="H216" s="7"/>
      <c r="I216" s="7"/>
    </row>
    <row r="217" spans="1:9" ht="15.75" x14ac:dyDescent="0.25">
      <c r="A217" s="683" t="s">
        <v>29</v>
      </c>
      <c r="B217" s="684"/>
      <c r="C217" s="684"/>
      <c r="D217" s="684"/>
      <c r="E217" s="684"/>
      <c r="F217" s="685"/>
      <c r="G217" s="169"/>
      <c r="H217" s="7"/>
      <c r="I217" s="7"/>
    </row>
    <row r="218" spans="1:9" ht="15.75" x14ac:dyDescent="0.25">
      <c r="A218" s="686">
        <f>D186</f>
        <v>0.28000000000000003</v>
      </c>
      <c r="B218" s="687"/>
      <c r="C218" s="687"/>
      <c r="D218" s="687"/>
      <c r="E218" s="687"/>
      <c r="F218" s="688"/>
      <c r="G218" s="169"/>
      <c r="H218" s="7"/>
      <c r="I218" s="7"/>
    </row>
    <row r="219" spans="1:9" ht="15.75" x14ac:dyDescent="0.25">
      <c r="A219" s="576" t="s">
        <v>30</v>
      </c>
      <c r="B219" s="576" t="s">
        <v>11</v>
      </c>
      <c r="C219" s="403"/>
      <c r="D219" s="576" t="s">
        <v>14</v>
      </c>
      <c r="E219" s="576" t="s">
        <v>15</v>
      </c>
      <c r="F219" s="576" t="s">
        <v>6</v>
      </c>
      <c r="G219" s="169"/>
      <c r="H219" s="7"/>
      <c r="I219" s="7"/>
    </row>
    <row r="220" spans="1:9" ht="3" customHeight="1" x14ac:dyDescent="0.25">
      <c r="A220" s="576"/>
      <c r="B220" s="576"/>
      <c r="C220" s="403"/>
      <c r="D220" s="576"/>
      <c r="E220" s="576"/>
      <c r="F220" s="576"/>
      <c r="G220" s="169"/>
      <c r="H220" s="7"/>
      <c r="I220" s="7"/>
    </row>
    <row r="221" spans="1:9" ht="15.75" x14ac:dyDescent="0.25">
      <c r="A221" s="403">
        <v>1</v>
      </c>
      <c r="B221" s="403">
        <v>2</v>
      </c>
      <c r="C221" s="403"/>
      <c r="D221" s="403">
        <v>3</v>
      </c>
      <c r="E221" s="403">
        <v>7</v>
      </c>
      <c r="F221" s="403" t="s">
        <v>179</v>
      </c>
      <c r="G221" s="169"/>
      <c r="H221" s="7"/>
      <c r="I221" s="7"/>
    </row>
    <row r="222" spans="1:9" ht="15.75" x14ac:dyDescent="0.25">
      <c r="A222" s="127" t="str">
        <f>'патриотика0,31'!A251</f>
        <v>Пиломатериал доска 100*50*6000</v>
      </c>
      <c r="B222" s="84" t="s">
        <v>88</v>
      </c>
      <c r="C222" s="403"/>
      <c r="D222" s="170">
        <f>Лист1!C3*$A$218</f>
        <v>0.28000000000000003</v>
      </c>
      <c r="E222" s="411">
        <f>'патриотика0,31'!E251</f>
        <v>9000</v>
      </c>
      <c r="F222" s="404">
        <f>D222*E222</f>
        <v>2520.0000000000005</v>
      </c>
      <c r="G222" s="169"/>
      <c r="H222" s="7"/>
      <c r="I222" s="7"/>
    </row>
    <row r="223" spans="1:9" ht="15.75" x14ac:dyDescent="0.25">
      <c r="A223" s="127" t="str">
        <f>'патриотика0,31'!A252</f>
        <v>Брусок 100*100*6000</v>
      </c>
      <c r="B223" s="84" t="s">
        <v>88</v>
      </c>
      <c r="C223" s="403"/>
      <c r="D223" s="487">
        <f>Лист1!C4*$A$218</f>
        <v>0.28000000000000003</v>
      </c>
      <c r="E223" s="486">
        <f>'патриотика0,31'!E252</f>
        <v>10000</v>
      </c>
      <c r="F223" s="404">
        <f>D223*E223</f>
        <v>2800.0000000000005</v>
      </c>
      <c r="G223" s="169"/>
      <c r="H223" s="7"/>
      <c r="I223" s="7"/>
    </row>
    <row r="224" spans="1:9" ht="15.75" x14ac:dyDescent="0.25">
      <c r="A224" s="127" t="str">
        <f>'патриотика0,31'!A253</f>
        <v>Искусственный камень</v>
      </c>
      <c r="B224" s="84" t="s">
        <v>88</v>
      </c>
      <c r="C224" s="403"/>
      <c r="D224" s="487">
        <f>Лист1!C5*$A$218</f>
        <v>2.8000000000000003</v>
      </c>
      <c r="E224" s="486">
        <f>'патриотика0,31'!E253</f>
        <v>600</v>
      </c>
      <c r="F224" s="404">
        <f t="shared" ref="F224:F292" si="13">D224*E224</f>
        <v>1680.0000000000002</v>
      </c>
      <c r="G224" s="169"/>
      <c r="H224" s="7"/>
      <c r="I224" s="7"/>
    </row>
    <row r="225" spans="1:9" ht="15.75" x14ac:dyDescent="0.25">
      <c r="A225" s="127" t="str">
        <f>'патриотика0,31'!A254</f>
        <v>карбонат монолитный</v>
      </c>
      <c r="B225" s="84" t="s">
        <v>88</v>
      </c>
      <c r="C225" s="403"/>
      <c r="D225" s="487">
        <f>Лист1!C6*$A$218</f>
        <v>1.4000000000000001</v>
      </c>
      <c r="E225" s="486">
        <f>'патриотика0,31'!E254</f>
        <v>6600</v>
      </c>
      <c r="F225" s="404">
        <f t="shared" ref="F225" si="14">D225*E225</f>
        <v>9240</v>
      </c>
      <c r="G225" s="169"/>
      <c r="H225" s="7"/>
      <c r="I225" s="7"/>
    </row>
    <row r="226" spans="1:9" ht="15.75" x14ac:dyDescent="0.25">
      <c r="A226" s="127" t="str">
        <f>'патриотика0,31'!A255</f>
        <v>Катридж CN54AE HP 933XL</v>
      </c>
      <c r="B226" s="84" t="s">
        <v>88</v>
      </c>
      <c r="C226" s="403"/>
      <c r="D226" s="487">
        <f>Лист1!C7*$A$218</f>
        <v>2.5200000000000005</v>
      </c>
      <c r="E226" s="486">
        <f>'патриотика0,31'!E255</f>
        <v>1860</v>
      </c>
      <c r="F226" s="404">
        <f t="shared" si="13"/>
        <v>4687.2000000000007</v>
      </c>
      <c r="G226" s="169"/>
      <c r="H226" s="7"/>
      <c r="I226" s="7"/>
    </row>
    <row r="227" spans="1:9" ht="15.75" x14ac:dyDescent="0.25">
      <c r="A227" s="127" t="str">
        <f>'патриотика0,31'!A256</f>
        <v>Катридж CN54AE HP 932XL</v>
      </c>
      <c r="B227" s="84" t="s">
        <v>88</v>
      </c>
      <c r="C227" s="403"/>
      <c r="D227" s="487">
        <f>Лист1!C8*$A$218</f>
        <v>0.84000000000000008</v>
      </c>
      <c r="E227" s="486">
        <f>'патриотика0,31'!E256</f>
        <v>3689</v>
      </c>
      <c r="F227" s="404">
        <f t="shared" si="13"/>
        <v>3098.76</v>
      </c>
      <c r="G227" s="169"/>
      <c r="H227" s="7"/>
      <c r="I227" s="7"/>
    </row>
    <row r="228" spans="1:9" ht="15.75" x14ac:dyDescent="0.25">
      <c r="A228" s="127" t="str">
        <f>'патриотика0,31'!A257</f>
        <v>Чернила Canon Gl-490C PIXMA</v>
      </c>
      <c r="B228" s="84" t="s">
        <v>88</v>
      </c>
      <c r="C228" s="403"/>
      <c r="D228" s="487">
        <f>Лист1!C9*$A$218</f>
        <v>3.3600000000000003</v>
      </c>
      <c r="E228" s="486">
        <f>'патриотика0,31'!E257</f>
        <v>800</v>
      </c>
      <c r="F228" s="404">
        <f t="shared" si="13"/>
        <v>2688.0000000000005</v>
      </c>
      <c r="G228" s="169"/>
      <c r="H228" s="7"/>
      <c r="I228" s="7"/>
    </row>
    <row r="229" spans="1:9" ht="15.75" x14ac:dyDescent="0.25">
      <c r="A229" s="127" t="str">
        <f>'патриотика0,31'!A258</f>
        <v>Бумага А4 500 шт. SvetoCopy</v>
      </c>
      <c r="B229" s="84" t="s">
        <v>88</v>
      </c>
      <c r="C229" s="403"/>
      <c r="D229" s="487">
        <f>Лист1!C10*$A$218</f>
        <v>8.4</v>
      </c>
      <c r="E229" s="486">
        <f>'патриотика0,31'!E258</f>
        <v>300</v>
      </c>
      <c r="F229" s="404">
        <f t="shared" si="13"/>
        <v>2520</v>
      </c>
      <c r="G229" s="169"/>
      <c r="H229" s="7"/>
      <c r="I229" s="7"/>
    </row>
    <row r="230" spans="1:9" ht="15.75" x14ac:dyDescent="0.25">
      <c r="A230" s="127" t="str">
        <f>'патриотика0,31'!A259</f>
        <v>Бумага А3 500 шт. SvetoCopy</v>
      </c>
      <c r="B230" s="84" t="s">
        <v>88</v>
      </c>
      <c r="C230" s="403"/>
      <c r="D230" s="487">
        <f>Лист1!C11*$A$218</f>
        <v>5.6000000000000005</v>
      </c>
      <c r="E230" s="486">
        <f>'патриотика0,31'!E259</f>
        <v>400</v>
      </c>
      <c r="F230" s="404">
        <f t="shared" si="13"/>
        <v>2240</v>
      </c>
      <c r="G230" s="169"/>
      <c r="H230" s="7"/>
      <c r="I230" s="7"/>
    </row>
    <row r="231" spans="1:9" ht="15.75" x14ac:dyDescent="0.25">
      <c r="A231" s="127" t="str">
        <f>'патриотика0,31'!A260</f>
        <v>Фанера</v>
      </c>
      <c r="B231" s="84" t="s">
        <v>88</v>
      </c>
      <c r="C231" s="403"/>
      <c r="D231" s="487">
        <f>Лист1!C12*$A$218</f>
        <v>0.28000000000000003</v>
      </c>
      <c r="E231" s="486">
        <f>'патриотика0,31'!E260</f>
        <v>1000</v>
      </c>
      <c r="F231" s="404">
        <f t="shared" si="13"/>
        <v>280</v>
      </c>
      <c r="G231" s="169"/>
      <c r="H231" s="7"/>
      <c r="I231" s="7"/>
    </row>
    <row r="232" spans="1:9" ht="15.75" x14ac:dyDescent="0.25">
      <c r="A232" s="127" t="str">
        <f>'патриотика0,31'!A261</f>
        <v>Антифриз</v>
      </c>
      <c r="B232" s="84" t="s">
        <v>88</v>
      </c>
      <c r="C232" s="403"/>
      <c r="D232" s="487">
        <f>Лист1!C13*$A$218</f>
        <v>8.4</v>
      </c>
      <c r="E232" s="486">
        <f>'патриотика0,31'!E261</f>
        <v>183</v>
      </c>
      <c r="F232" s="404">
        <f t="shared" si="13"/>
        <v>1537.2</v>
      </c>
      <c r="G232" s="169"/>
      <c r="H232" s="7"/>
      <c r="I232" s="7"/>
    </row>
    <row r="233" spans="1:9" ht="15.75" x14ac:dyDescent="0.25">
      <c r="A233" s="127" t="str">
        <f>'патриотика0,31'!A262</f>
        <v>насадка на швабру</v>
      </c>
      <c r="B233" s="84" t="s">
        <v>88</v>
      </c>
      <c r="C233" s="403"/>
      <c r="D233" s="487">
        <f>Лист1!C14*$A$218</f>
        <v>2.8000000000000003</v>
      </c>
      <c r="E233" s="486">
        <f>'патриотика0,31'!E262</f>
        <v>100</v>
      </c>
      <c r="F233" s="404">
        <f t="shared" si="13"/>
        <v>280</v>
      </c>
      <c r="G233" s="169"/>
      <c r="H233" s="7"/>
      <c r="I233" s="7"/>
    </row>
    <row r="234" spans="1:9" ht="15.75" x14ac:dyDescent="0.25">
      <c r="A234" s="127" t="str">
        <f>'патриотика0,31'!A263</f>
        <v>дез ср/во для сантехники</v>
      </c>
      <c r="B234" s="84" t="s">
        <v>88</v>
      </c>
      <c r="C234" s="403"/>
      <c r="D234" s="487">
        <f>Лист1!C15*$A$218</f>
        <v>0.56000000000000005</v>
      </c>
      <c r="E234" s="486">
        <f>'патриотика0,31'!E263</f>
        <v>500</v>
      </c>
      <c r="F234" s="404">
        <f t="shared" ref="F234:F235" si="15">D234*E234</f>
        <v>280</v>
      </c>
      <c r="G234" s="169"/>
      <c r="H234" s="7"/>
      <c r="I234" s="7"/>
    </row>
    <row r="235" spans="1:9" ht="15.75" x14ac:dyDescent="0.25">
      <c r="A235" s="127" t="str">
        <f>'патриотика0,31'!A264</f>
        <v>ср-во для чистки стекол</v>
      </c>
      <c r="B235" s="84" t="s">
        <v>88</v>
      </c>
      <c r="C235" s="403"/>
      <c r="D235" s="487">
        <f>Лист1!C16*$A$218</f>
        <v>1.4000000000000001</v>
      </c>
      <c r="E235" s="486">
        <f>'патриотика0,31'!E264</f>
        <v>200</v>
      </c>
      <c r="F235" s="404">
        <f t="shared" si="15"/>
        <v>280</v>
      </c>
      <c r="G235" s="169"/>
      <c r="H235" s="7"/>
      <c r="I235" s="7"/>
    </row>
    <row r="236" spans="1:9" ht="15.75" x14ac:dyDescent="0.25">
      <c r="A236" s="127" t="str">
        <f>'патриотика0,31'!A265</f>
        <v>ватные диски +терм</v>
      </c>
      <c r="B236" s="84" t="s">
        <v>88</v>
      </c>
      <c r="C236" s="403"/>
      <c r="D236" s="487">
        <f>Лист1!C17*$A$218</f>
        <v>0.28000000000000003</v>
      </c>
      <c r="E236" s="486">
        <f>'патриотика0,31'!E265</f>
        <v>466</v>
      </c>
      <c r="F236" s="404">
        <f t="shared" si="13"/>
        <v>130.48000000000002</v>
      </c>
      <c r="G236" s="169"/>
      <c r="H236" s="7"/>
      <c r="I236" s="7"/>
    </row>
    <row r="237" spans="1:9" ht="15.75" x14ac:dyDescent="0.25">
      <c r="A237" s="127" t="str">
        <f>'патриотика0,31'!A266</f>
        <v>щит мет</v>
      </c>
      <c r="B237" s="84" t="s">
        <v>88</v>
      </c>
      <c r="C237" s="403"/>
      <c r="D237" s="487">
        <f>Лист1!C18*$A$218</f>
        <v>0.28000000000000003</v>
      </c>
      <c r="E237" s="486">
        <f>'патриотика0,31'!E266</f>
        <v>1385</v>
      </c>
      <c r="F237" s="404">
        <f t="shared" si="13"/>
        <v>387.8</v>
      </c>
      <c r="G237" s="169"/>
      <c r="H237" s="7"/>
      <c r="I237" s="7"/>
    </row>
    <row r="238" spans="1:9" ht="15.75" x14ac:dyDescent="0.25">
      <c r="A238" s="127" t="str">
        <f>'патриотика0,31'!A267</f>
        <v>уголок</v>
      </c>
      <c r="B238" s="84" t="s">
        <v>88</v>
      </c>
      <c r="C238" s="403"/>
      <c r="D238" s="487">
        <f>Лист1!C19*$A$218</f>
        <v>0.56000000000000005</v>
      </c>
      <c r="E238" s="486">
        <f>'патриотика0,31'!E267</f>
        <v>25</v>
      </c>
      <c r="F238" s="404">
        <f t="shared" si="13"/>
        <v>14.000000000000002</v>
      </c>
      <c r="G238" s="169"/>
      <c r="H238" s="7"/>
      <c r="I238" s="7"/>
    </row>
    <row r="239" spans="1:9" ht="15.75" x14ac:dyDescent="0.25">
      <c r="A239" s="127" t="str">
        <f>'патриотика0,31'!A268</f>
        <v>держатель зерк</v>
      </c>
      <c r="B239" s="84" t="s">
        <v>88</v>
      </c>
      <c r="C239" s="403"/>
      <c r="D239" s="487">
        <f>Лист1!C20*$A$218</f>
        <v>1.6800000000000002</v>
      </c>
      <c r="E239" s="486">
        <f>'патриотика0,31'!E268</f>
        <v>60</v>
      </c>
      <c r="F239" s="404">
        <f t="shared" si="13"/>
        <v>100.80000000000001</v>
      </c>
      <c r="G239" s="169"/>
      <c r="H239" s="7"/>
      <c r="I239" s="7"/>
    </row>
    <row r="240" spans="1:9" ht="15.75" x14ac:dyDescent="0.25">
      <c r="A240" s="127" t="str">
        <f>'патриотика0,31'!A269</f>
        <v>краска</v>
      </c>
      <c r="B240" s="84" t="s">
        <v>88</v>
      </c>
      <c r="C240" s="403"/>
      <c r="D240" s="487">
        <f>Лист1!C21*$A$218</f>
        <v>0.28000000000000003</v>
      </c>
      <c r="E240" s="486">
        <f>'патриотика0,31'!E269</f>
        <v>1195</v>
      </c>
      <c r="F240" s="404">
        <f t="shared" si="13"/>
        <v>334.6</v>
      </c>
      <c r="G240" s="169"/>
      <c r="H240" s="7"/>
      <c r="I240" s="7"/>
    </row>
    <row r="241" spans="1:9" ht="15.75" x14ac:dyDescent="0.25">
      <c r="A241" s="127" t="str">
        <f>'инновации+добровольчество0,41'!A317</f>
        <v>колер</v>
      </c>
      <c r="B241" s="84" t="s">
        <v>88</v>
      </c>
      <c r="C241" s="403"/>
      <c r="D241" s="487">
        <f>Лист1!C22*$A$218</f>
        <v>2.5200000000000005</v>
      </c>
      <c r="E241" s="486">
        <f>'патриотика0,31'!E270</f>
        <v>50</v>
      </c>
      <c r="F241" s="404">
        <f t="shared" si="13"/>
        <v>126.00000000000003</v>
      </c>
      <c r="G241" s="169"/>
      <c r="H241" s="7"/>
      <c r="I241" s="7"/>
    </row>
    <row r="242" spans="1:9" ht="15.75" x14ac:dyDescent="0.25">
      <c r="A242" s="127" t="str">
        <f>'инновации+добровольчество0,41'!A318</f>
        <v>эмаль</v>
      </c>
      <c r="B242" s="84" t="s">
        <v>88</v>
      </c>
      <c r="C242" s="403"/>
      <c r="D242" s="487">
        <f>Лист1!C23*$A$218</f>
        <v>0.28000000000000003</v>
      </c>
      <c r="E242" s="486">
        <f>'патриотика0,31'!E271</f>
        <v>250</v>
      </c>
      <c r="F242" s="404">
        <f t="shared" si="13"/>
        <v>70</v>
      </c>
      <c r="G242" s="169"/>
      <c r="H242" s="7"/>
      <c r="I242" s="7"/>
    </row>
    <row r="243" spans="1:9" ht="15.75" x14ac:dyDescent="0.25">
      <c r="A243" s="127" t="str">
        <f>'патриотика0,31'!A272</f>
        <v>Молоток</v>
      </c>
      <c r="B243" s="84" t="s">
        <v>88</v>
      </c>
      <c r="C243" s="403"/>
      <c r="D243" s="487">
        <f>Лист1!C24*$A$218</f>
        <v>0.84000000000000008</v>
      </c>
      <c r="E243" s="486">
        <f>'патриотика0,31'!E272</f>
        <v>100</v>
      </c>
      <c r="F243" s="404">
        <f t="shared" si="13"/>
        <v>84.000000000000014</v>
      </c>
      <c r="G243" s="169"/>
      <c r="H243" s="7"/>
      <c r="I243" s="7"/>
    </row>
    <row r="244" spans="1:9" ht="15.75" x14ac:dyDescent="0.25">
      <c r="A244" s="127" t="str">
        <f>'патриотика0,31'!A273</f>
        <v>Гвозди</v>
      </c>
      <c r="B244" s="84" t="s">
        <v>88</v>
      </c>
      <c r="C244" s="403"/>
      <c r="D244" s="487">
        <f>Лист1!C25*$A$218</f>
        <v>0.56000000000000005</v>
      </c>
      <c r="E244" s="486">
        <f>'патриотика0,31'!E273</f>
        <v>27.5</v>
      </c>
      <c r="F244" s="404">
        <f t="shared" si="13"/>
        <v>15.400000000000002</v>
      </c>
      <c r="G244" s="169"/>
      <c r="H244" s="7"/>
      <c r="I244" s="7"/>
    </row>
    <row r="245" spans="1:9" ht="15.75" x14ac:dyDescent="0.25">
      <c r="A245" s="127" t="str">
        <f>'патриотика0,31'!A274</f>
        <v>Тонер НР</v>
      </c>
      <c r="B245" s="84" t="s">
        <v>88</v>
      </c>
      <c r="C245" s="403"/>
      <c r="D245" s="487">
        <f>Лист1!C26*$A$218</f>
        <v>0.56000000000000005</v>
      </c>
      <c r="E245" s="486">
        <f>'патриотика0,31'!E274</f>
        <v>2200</v>
      </c>
      <c r="F245" s="404">
        <f t="shared" si="13"/>
        <v>1232.0000000000002</v>
      </c>
      <c r="G245" s="169"/>
      <c r="H245" s="7"/>
      <c r="I245" s="7"/>
    </row>
    <row r="246" spans="1:9" ht="15.75" x14ac:dyDescent="0.25">
      <c r="A246" s="127" t="str">
        <f>'патриотика0,31'!A275</f>
        <v>Тонер Canon</v>
      </c>
      <c r="B246" s="84" t="s">
        <v>88</v>
      </c>
      <c r="C246" s="403"/>
      <c r="D246" s="487">
        <f>Лист1!C27*$A$218</f>
        <v>0.28000000000000003</v>
      </c>
      <c r="E246" s="486">
        <f>'патриотика0,31'!E275</f>
        <v>1600</v>
      </c>
      <c r="F246" s="404">
        <f t="shared" si="13"/>
        <v>448.00000000000006</v>
      </c>
      <c r="G246" s="169"/>
      <c r="H246" s="7"/>
      <c r="I246" s="7"/>
    </row>
    <row r="247" spans="1:9" ht="15.75" x14ac:dyDescent="0.25">
      <c r="A247" s="127" t="str">
        <f>'патриотика0,31'!A276</f>
        <v>Эмаль</v>
      </c>
      <c r="B247" s="84" t="s">
        <v>88</v>
      </c>
      <c r="C247" s="403"/>
      <c r="D247" s="487">
        <f>Лист1!C28*$A$218</f>
        <v>0.56000000000000005</v>
      </c>
      <c r="E247" s="486">
        <f>'патриотика0,31'!E276</f>
        <v>180</v>
      </c>
      <c r="F247" s="404">
        <f t="shared" si="13"/>
        <v>100.80000000000001</v>
      </c>
      <c r="G247" s="169"/>
      <c r="H247" s="7"/>
      <c r="I247" s="7"/>
    </row>
    <row r="248" spans="1:9" ht="15.75" x14ac:dyDescent="0.25">
      <c r="A248" s="127" t="str">
        <f>'патриотика0,31'!A277</f>
        <v>Эмаль аэрозоль</v>
      </c>
      <c r="B248" s="84" t="s">
        <v>88</v>
      </c>
      <c r="C248" s="403"/>
      <c r="D248" s="487">
        <f>Лист1!C29*$A$218</f>
        <v>2.2400000000000002</v>
      </c>
      <c r="E248" s="486">
        <f>'патриотика0,31'!E277</f>
        <v>216.5</v>
      </c>
      <c r="F248" s="404">
        <f t="shared" si="13"/>
        <v>484.96000000000004</v>
      </c>
      <c r="G248" s="169"/>
      <c r="H248" s="7"/>
      <c r="I248" s="7"/>
    </row>
    <row r="249" spans="1:9" ht="15.75" x14ac:dyDescent="0.25">
      <c r="A249" s="127" t="str">
        <f>'патриотика0,31'!A278</f>
        <v>пакет майка</v>
      </c>
      <c r="B249" s="84" t="s">
        <v>88</v>
      </c>
      <c r="C249" s="403"/>
      <c r="D249" s="487">
        <f>Лист1!C30*$A$218</f>
        <v>0.28000000000000003</v>
      </c>
      <c r="E249" s="486">
        <f>'патриотика0,31'!E278</f>
        <v>5</v>
      </c>
      <c r="F249" s="404">
        <f t="shared" si="13"/>
        <v>1.4000000000000001</v>
      </c>
      <c r="G249" s="169"/>
      <c r="H249" s="7"/>
      <c r="I249" s="7"/>
    </row>
    <row r="250" spans="1:9" ht="15.75" x14ac:dyDescent="0.25">
      <c r="A250" s="127" t="str">
        <f>'патриотика0,31'!A279</f>
        <v>шпилька резьбовая</v>
      </c>
      <c r="B250" s="84" t="s">
        <v>88</v>
      </c>
      <c r="C250" s="403"/>
      <c r="D250" s="487">
        <f>Лист1!C31*$A$218</f>
        <v>0.56000000000000005</v>
      </c>
      <c r="E250" s="486">
        <f>'патриотика0,31'!E279</f>
        <v>240</v>
      </c>
      <c r="F250" s="404">
        <f t="shared" si="13"/>
        <v>134.4</v>
      </c>
      <c r="G250" s="169"/>
      <c r="H250" s="7"/>
      <c r="I250" s="7"/>
    </row>
    <row r="251" spans="1:9" ht="15.75" x14ac:dyDescent="0.25">
      <c r="A251" s="127" t="str">
        <f>'патриотика0,31'!A280</f>
        <v>сверло</v>
      </c>
      <c r="B251" s="84" t="s">
        <v>88</v>
      </c>
      <c r="C251" s="403"/>
      <c r="D251" s="487">
        <f>Лист1!C32*$A$218</f>
        <v>0.28000000000000003</v>
      </c>
      <c r="E251" s="486">
        <f>'патриотика0,31'!E280</f>
        <v>359</v>
      </c>
      <c r="F251" s="404">
        <f t="shared" si="13"/>
        <v>100.52000000000001</v>
      </c>
      <c r="G251" s="169"/>
      <c r="H251" s="7"/>
      <c r="I251" s="7"/>
    </row>
    <row r="252" spans="1:9" ht="15.75" x14ac:dyDescent="0.25">
      <c r="A252" s="127" t="str">
        <f>'патриотика0,31'!A281</f>
        <v>антифриз</v>
      </c>
      <c r="B252" s="84" t="s">
        <v>88</v>
      </c>
      <c r="C252" s="403"/>
      <c r="D252" s="487">
        <f>Лист1!C33*$A$218</f>
        <v>0.56000000000000005</v>
      </c>
      <c r="E252" s="486">
        <f>'патриотика0,31'!E281</f>
        <v>560</v>
      </c>
      <c r="F252" s="404">
        <f t="shared" si="13"/>
        <v>313.60000000000002</v>
      </c>
      <c r="G252" s="169"/>
      <c r="H252" s="7"/>
      <c r="I252" s="7"/>
    </row>
    <row r="253" spans="1:9" ht="15.75" x14ac:dyDescent="0.25">
      <c r="A253" s="127" t="str">
        <f>'патриотика0,31'!A282</f>
        <v>ледоруб</v>
      </c>
      <c r="B253" s="84" t="s">
        <v>88</v>
      </c>
      <c r="C253" s="403"/>
      <c r="D253" s="487">
        <f>Лист1!C34*$A$218</f>
        <v>0.28000000000000003</v>
      </c>
      <c r="E253" s="486">
        <f>'патриотика0,31'!E282</f>
        <v>677</v>
      </c>
      <c r="F253" s="404">
        <f t="shared" si="13"/>
        <v>189.56000000000003</v>
      </c>
      <c r="G253" s="169"/>
      <c r="H253" s="7"/>
      <c r="I253" s="7"/>
    </row>
    <row r="254" spans="1:9" ht="15.75" x14ac:dyDescent="0.25">
      <c r="A254" s="127" t="str">
        <f>'патриотика0,31'!A283</f>
        <v>труба</v>
      </c>
      <c r="B254" s="84" t="s">
        <v>88</v>
      </c>
      <c r="C254" s="403"/>
      <c r="D254" s="487">
        <f>Лист1!C35*$A$218</f>
        <v>0.84000000000000008</v>
      </c>
      <c r="E254" s="486">
        <f>'патриотика0,31'!E283</f>
        <v>650</v>
      </c>
      <c r="F254" s="404">
        <f t="shared" si="13"/>
        <v>546</v>
      </c>
      <c r="G254" s="169"/>
      <c r="H254" s="7"/>
      <c r="I254" s="7"/>
    </row>
    <row r="255" spans="1:9" ht="15.75" x14ac:dyDescent="0.25">
      <c r="A255" s="127" t="str">
        <f>'патриотика0,31'!A284</f>
        <v>кронштейн</v>
      </c>
      <c r="B255" s="84" t="s">
        <v>88</v>
      </c>
      <c r="C255" s="403"/>
      <c r="D255" s="487">
        <f>Лист1!C36*$A$218</f>
        <v>0.56000000000000005</v>
      </c>
      <c r="E255" s="486">
        <f>'патриотика0,31'!E284</f>
        <v>32</v>
      </c>
      <c r="F255" s="404">
        <f t="shared" si="13"/>
        <v>17.920000000000002</v>
      </c>
      <c r="G255" s="169"/>
      <c r="H255" s="7"/>
      <c r="I255" s="7"/>
    </row>
    <row r="256" spans="1:9" ht="15.75" x14ac:dyDescent="0.25">
      <c r="A256" s="127" t="str">
        <f>'патриотика0,31'!A285</f>
        <v>электрод</v>
      </c>
      <c r="B256" s="84" t="s">
        <v>88</v>
      </c>
      <c r="C256" s="403"/>
      <c r="D256" s="487">
        <f>Лист1!C37*$A$218</f>
        <v>0.28000000000000003</v>
      </c>
      <c r="E256" s="486">
        <f>'патриотика0,31'!E285</f>
        <v>250</v>
      </c>
      <c r="F256" s="404">
        <f t="shared" si="13"/>
        <v>70</v>
      </c>
      <c r="G256" s="169"/>
      <c r="H256" s="7"/>
      <c r="I256" s="7"/>
    </row>
    <row r="257" spans="1:12" ht="15.75" x14ac:dyDescent="0.25">
      <c r="A257" s="127" t="str">
        <f>'патриотика0,31'!A286</f>
        <v>круг отрезной</v>
      </c>
      <c r="B257" s="84" t="s">
        <v>88</v>
      </c>
      <c r="C257" s="403"/>
      <c r="D257" s="487">
        <f>Лист1!C38*$A$218</f>
        <v>3.08</v>
      </c>
      <c r="E257" s="486">
        <f>'патриотика0,31'!E286</f>
        <v>50</v>
      </c>
      <c r="F257" s="404">
        <f t="shared" si="13"/>
        <v>154</v>
      </c>
      <c r="G257" s="169"/>
      <c r="H257" s="7"/>
      <c r="I257" s="7"/>
    </row>
    <row r="258" spans="1:12" ht="15.75" x14ac:dyDescent="0.25">
      <c r="A258" s="127" t="str">
        <f>'патриотика0,31'!A287</f>
        <v>круг отрезной</v>
      </c>
      <c r="B258" s="84" t="s">
        <v>88</v>
      </c>
      <c r="C258" s="403"/>
      <c r="D258" s="487">
        <f>Лист1!C39*$A$218</f>
        <v>0.84000000000000008</v>
      </c>
      <c r="E258" s="486">
        <f>'патриотика0,31'!E287</f>
        <v>41</v>
      </c>
      <c r="F258" s="404">
        <f t="shared" si="13"/>
        <v>34.440000000000005</v>
      </c>
      <c r="G258" s="169"/>
      <c r="H258" s="7"/>
      <c r="I258" s="7"/>
    </row>
    <row r="259" spans="1:12" ht="15.75" x14ac:dyDescent="0.25">
      <c r="A259" s="127" t="str">
        <f>'патриотика0,31'!A288</f>
        <v>круг отрезной</v>
      </c>
      <c r="B259" s="84" t="s">
        <v>88</v>
      </c>
      <c r="C259" s="403"/>
      <c r="D259" s="487">
        <f>Лист1!C40*$A$218</f>
        <v>0.28000000000000003</v>
      </c>
      <c r="E259" s="486">
        <f>'патриотика0,31'!E288</f>
        <v>50</v>
      </c>
      <c r="F259" s="404">
        <f t="shared" si="13"/>
        <v>14.000000000000002</v>
      </c>
      <c r="G259" s="169"/>
      <c r="H259" s="7"/>
      <c r="I259" s="7"/>
    </row>
    <row r="260" spans="1:12" ht="15.75" x14ac:dyDescent="0.25">
      <c r="A260" s="127" t="str">
        <f>'патриотика0,31'!A289</f>
        <v>круг зачистной</v>
      </c>
      <c r="B260" s="84" t="s">
        <v>88</v>
      </c>
      <c r="C260" s="403"/>
      <c r="D260" s="487">
        <f>Лист1!C41*$A$218</f>
        <v>0.28000000000000003</v>
      </c>
      <c r="E260" s="486">
        <f>'патриотика0,31'!E289</f>
        <v>144</v>
      </c>
      <c r="F260" s="404">
        <f t="shared" si="13"/>
        <v>40.320000000000007</v>
      </c>
      <c r="G260" s="169"/>
      <c r="H260" s="7"/>
      <c r="I260" s="7"/>
    </row>
    <row r="261" spans="1:12" ht="15.75" x14ac:dyDescent="0.25">
      <c r="A261" s="127" t="str">
        <f>'патриотика0,31'!A290</f>
        <v>кабель-канал</v>
      </c>
      <c r="B261" s="84" t="s">
        <v>88</v>
      </c>
      <c r="C261" s="403"/>
      <c r="D261" s="487">
        <f>Лист1!C42*$A$218</f>
        <v>0.28000000000000003</v>
      </c>
      <c r="E261" s="486">
        <f>'патриотика0,31'!E290</f>
        <v>95</v>
      </c>
      <c r="F261" s="404">
        <f t="shared" si="13"/>
        <v>26.6</v>
      </c>
      <c r="G261" s="169"/>
      <c r="H261" s="7"/>
      <c r="I261" s="7"/>
    </row>
    <row r="262" spans="1:12" ht="15.75" x14ac:dyDescent="0.25">
      <c r="A262" s="127" t="str">
        <f>'патриотика0,31'!A291</f>
        <v>саморез</v>
      </c>
      <c r="B262" s="84" t="s">
        <v>88</v>
      </c>
      <c r="C262" s="403"/>
      <c r="D262" s="487">
        <f>Лист1!C43*$A$218</f>
        <v>14.000000000000002</v>
      </c>
      <c r="E262" s="486">
        <f>'патриотика0,31'!E291</f>
        <v>3.5</v>
      </c>
      <c r="F262" s="404">
        <f t="shared" si="13"/>
        <v>49.000000000000007</v>
      </c>
      <c r="G262" s="169"/>
      <c r="H262" s="7"/>
      <c r="I262" s="7"/>
    </row>
    <row r="263" spans="1:12" ht="15.75" x14ac:dyDescent="0.25">
      <c r="A263" s="127" t="str">
        <f>'патриотика0,31'!A292</f>
        <v>лопата</v>
      </c>
      <c r="B263" s="84" t="s">
        <v>88</v>
      </c>
      <c r="C263" s="403"/>
      <c r="D263" s="487">
        <f>Лист1!C44*$A$218</f>
        <v>0.56000000000000005</v>
      </c>
      <c r="E263" s="486">
        <f>'патриотика0,31'!E292</f>
        <v>219</v>
      </c>
      <c r="F263" s="404">
        <f t="shared" si="13"/>
        <v>122.64000000000001</v>
      </c>
      <c r="G263" s="169"/>
      <c r="H263" s="7"/>
      <c r="I263" s="7"/>
    </row>
    <row r="264" spans="1:12" ht="15.75" x14ac:dyDescent="0.25">
      <c r="A264" s="127" t="str">
        <f>'патриотика0,31'!A293</f>
        <v>черенок</v>
      </c>
      <c r="B264" s="84" t="s">
        <v>88</v>
      </c>
      <c r="C264" s="403"/>
      <c r="D264" s="487">
        <f>Лист1!C45*$A$218</f>
        <v>0.56000000000000005</v>
      </c>
      <c r="E264" s="486">
        <f>'патриотика0,31'!E293</f>
        <v>80</v>
      </c>
      <c r="F264" s="404">
        <f t="shared" si="13"/>
        <v>44.800000000000004</v>
      </c>
      <c r="G264" s="169"/>
      <c r="H264" s="7"/>
      <c r="I264" s="7"/>
    </row>
    <row r="265" spans="1:12" ht="15.75" x14ac:dyDescent="0.25">
      <c r="A265" s="127" t="str">
        <f>'патриотика0,31'!A294</f>
        <v>домкрат</v>
      </c>
      <c r="B265" s="84" t="s">
        <v>88</v>
      </c>
      <c r="C265" s="403"/>
      <c r="D265" s="487">
        <f>Лист1!C46*$A$218</f>
        <v>0.28000000000000003</v>
      </c>
      <c r="E265" s="486">
        <f>'патриотика0,31'!E294</f>
        <v>2058</v>
      </c>
      <c r="F265" s="404">
        <f t="shared" si="13"/>
        <v>576.24</v>
      </c>
      <c r="G265" s="169"/>
      <c r="H265" s="7"/>
      <c r="I265" s="7"/>
    </row>
    <row r="266" spans="1:12" ht="15.75" x14ac:dyDescent="0.25">
      <c r="A266" s="127" t="str">
        <f>'патриотика0,31'!A295</f>
        <v>стяжка</v>
      </c>
      <c r="B266" s="84" t="s">
        <v>88</v>
      </c>
      <c r="C266" s="403"/>
      <c r="D266" s="487">
        <f>Лист1!C47*$A$218</f>
        <v>0.28000000000000003</v>
      </c>
      <c r="E266" s="486">
        <f>'патриотика0,31'!E295</f>
        <v>277</v>
      </c>
      <c r="F266" s="404">
        <f t="shared" si="13"/>
        <v>77.56</v>
      </c>
      <c r="G266" s="169"/>
      <c r="H266" s="7"/>
      <c r="I266" s="7"/>
    </row>
    <row r="267" spans="1:12" ht="15.75" x14ac:dyDescent="0.25">
      <c r="A267" s="127" t="str">
        <f>'патриотика0,31'!A296</f>
        <v>смазка</v>
      </c>
      <c r="B267" s="84" t="s">
        <v>88</v>
      </c>
      <c r="C267" s="403"/>
      <c r="D267" s="487">
        <f>Лист1!C48*$A$218</f>
        <v>0.28000000000000003</v>
      </c>
      <c r="E267" s="486">
        <f>'патриотика0,31'!E296</f>
        <v>299</v>
      </c>
      <c r="F267" s="404">
        <f t="shared" si="13"/>
        <v>83.720000000000013</v>
      </c>
      <c r="G267" s="169"/>
      <c r="H267" s="7"/>
      <c r="I267" s="7"/>
    </row>
    <row r="268" spans="1:12" ht="15.75" x14ac:dyDescent="0.25">
      <c r="A268" s="127" t="str">
        <f>'патриотика0,31'!A297</f>
        <v>лопата</v>
      </c>
      <c r="B268" s="84" t="s">
        <v>88</v>
      </c>
      <c r="C268" s="403"/>
      <c r="D268" s="487">
        <f>Лист1!C49*$A$218</f>
        <v>0.28000000000000003</v>
      </c>
      <c r="E268" s="486">
        <f>'патриотика0,31'!E297</f>
        <v>250</v>
      </c>
      <c r="F268" s="404">
        <f t="shared" si="13"/>
        <v>70</v>
      </c>
      <c r="G268" s="169"/>
      <c r="H268" s="7"/>
      <c r="I268" s="7"/>
    </row>
    <row r="269" spans="1:12" ht="15.75" x14ac:dyDescent="0.25">
      <c r="A269" s="127" t="str">
        <f>'патриотика0,31'!A298</f>
        <v>ключи</v>
      </c>
      <c r="B269" s="84" t="s">
        <v>88</v>
      </c>
      <c r="C269" s="403"/>
      <c r="D269" s="487">
        <f>Лист1!C50*$A$218</f>
        <v>0.28000000000000003</v>
      </c>
      <c r="E269" s="486">
        <f>'патриотика0,31'!E298</f>
        <v>245</v>
      </c>
      <c r="F269" s="404">
        <f t="shared" si="13"/>
        <v>68.600000000000009</v>
      </c>
      <c r="G269" s="169"/>
      <c r="H269" s="7"/>
      <c r="I269" s="7"/>
    </row>
    <row r="270" spans="1:12" ht="15.75" x14ac:dyDescent="0.25">
      <c r="A270" s="127" t="str">
        <f>'патриотика0,31'!A299</f>
        <v>болт</v>
      </c>
      <c r="B270" s="84" t="s">
        <v>88</v>
      </c>
      <c r="C270" s="403"/>
      <c r="D270" s="487">
        <f>Лист1!C51*$A$218</f>
        <v>1.1200000000000001</v>
      </c>
      <c r="E270" s="486">
        <f>'патриотика0,31'!E299</f>
        <v>10</v>
      </c>
      <c r="F270" s="404">
        <f t="shared" si="13"/>
        <v>11.200000000000001</v>
      </c>
      <c r="G270" s="169"/>
      <c r="H270" s="7"/>
      <c r="I270" s="7"/>
    </row>
    <row r="271" spans="1:12" ht="15.75" x14ac:dyDescent="0.25">
      <c r="A271" s="127" t="str">
        <f>'патриотика0,31'!A300</f>
        <v>гайка</v>
      </c>
      <c r="B271" s="84" t="s">
        <v>88</v>
      </c>
      <c r="C271" s="403"/>
      <c r="D271" s="487">
        <f>Лист1!C52*$A$218</f>
        <v>1.1200000000000001</v>
      </c>
      <c r="E271" s="486">
        <f>'патриотика0,31'!E300</f>
        <v>2</v>
      </c>
      <c r="F271" s="404">
        <f t="shared" si="13"/>
        <v>2.2400000000000002</v>
      </c>
      <c r="G271" s="169"/>
      <c r="H271" s="7"/>
      <c r="I271" s="7"/>
    </row>
    <row r="272" spans="1:12" ht="15.75" x14ac:dyDescent="0.25">
      <c r="A272" s="127" t="str">
        <f>'патриотика0,31'!A301</f>
        <v>эмаль аэрозоль</v>
      </c>
      <c r="B272" s="84" t="s">
        <v>88</v>
      </c>
      <c r="C272" s="84">
        <v>1</v>
      </c>
      <c r="D272" s="487">
        <f>Лист1!C53*$A$218</f>
        <v>0.84000000000000008</v>
      </c>
      <c r="E272" s="486">
        <f>'патриотика0,31'!E301</f>
        <v>226</v>
      </c>
      <c r="F272" s="404">
        <f t="shared" si="13"/>
        <v>189.84000000000003</v>
      </c>
      <c r="G272" s="169"/>
      <c r="H272" s="7"/>
      <c r="I272" s="7"/>
      <c r="J272" s="142"/>
      <c r="K272" s="114"/>
      <c r="L272" s="143"/>
    </row>
    <row r="273" spans="1:12" ht="15.75" x14ac:dyDescent="0.25">
      <c r="A273" s="127" t="str">
        <f>'патриотика0,31'!A302</f>
        <v>бумага нажд</v>
      </c>
      <c r="B273" s="84" t="s">
        <v>88</v>
      </c>
      <c r="C273" s="84">
        <v>4</v>
      </c>
      <c r="D273" s="487">
        <f>Лист1!C54*$A$218</f>
        <v>5.6000000000000005</v>
      </c>
      <c r="E273" s="486">
        <f>'патриотика0,31'!E302</f>
        <v>17</v>
      </c>
      <c r="F273" s="404">
        <f t="shared" si="13"/>
        <v>95.2</v>
      </c>
      <c r="G273" s="169"/>
      <c r="H273" s="7"/>
      <c r="I273" s="7"/>
      <c r="J273" s="142"/>
      <c r="K273" s="114"/>
      <c r="L273" s="143"/>
    </row>
    <row r="274" spans="1:12" ht="15.75" x14ac:dyDescent="0.25">
      <c r="A274" s="127" t="str">
        <f>'патриотика0,31'!A303</f>
        <v>круг отрезной</v>
      </c>
      <c r="B274" s="84" t="s">
        <v>88</v>
      </c>
      <c r="C274" s="84">
        <v>4</v>
      </c>
      <c r="D274" s="487">
        <f>Лист1!C55*$A$218</f>
        <v>2.8000000000000003</v>
      </c>
      <c r="E274" s="486">
        <f>'патриотика0,31'!E303</f>
        <v>34</v>
      </c>
      <c r="F274" s="404">
        <f t="shared" si="13"/>
        <v>95.2</v>
      </c>
      <c r="G274" s="169"/>
      <c r="H274" s="7"/>
      <c r="I274" s="7"/>
      <c r="J274" s="142"/>
      <c r="K274" s="114"/>
      <c r="L274" s="143"/>
    </row>
    <row r="275" spans="1:12" ht="15.75" x14ac:dyDescent="0.25">
      <c r="A275" s="127" t="str">
        <f>'патриотика0,31'!A304</f>
        <v>герметик</v>
      </c>
      <c r="B275" s="84" t="s">
        <v>88</v>
      </c>
      <c r="C275" s="84">
        <v>6</v>
      </c>
      <c r="D275" s="487">
        <f>Лист1!C56*$A$218</f>
        <v>0.28000000000000003</v>
      </c>
      <c r="E275" s="486">
        <f>'патриотика0,31'!E304</f>
        <v>266</v>
      </c>
      <c r="F275" s="404">
        <f t="shared" si="13"/>
        <v>74.48</v>
      </c>
      <c r="G275" s="169"/>
      <c r="H275" s="7"/>
      <c r="I275" s="7"/>
      <c r="J275" s="142"/>
      <c r="K275" s="114"/>
      <c r="L275" s="143"/>
    </row>
    <row r="276" spans="1:12" ht="15.75" x14ac:dyDescent="0.25">
      <c r="A276" s="127" t="str">
        <f>'патриотика0,31'!A305</f>
        <v>кенгуру</v>
      </c>
      <c r="B276" s="84" t="s">
        <v>88</v>
      </c>
      <c r="C276" s="84">
        <v>5</v>
      </c>
      <c r="D276" s="487">
        <f>Лист1!C57*$A$218</f>
        <v>0.56000000000000005</v>
      </c>
      <c r="E276" s="486">
        <f>'патриотика0,31'!E305</f>
        <v>274</v>
      </c>
      <c r="F276" s="404">
        <f t="shared" si="13"/>
        <v>153.44000000000003</v>
      </c>
      <c r="G276" s="169"/>
      <c r="H276" s="7"/>
      <c r="I276" s="7"/>
      <c r="J276" s="142"/>
      <c r="K276" s="114"/>
      <c r="L276" s="143"/>
    </row>
    <row r="277" spans="1:12" ht="15.75" x14ac:dyDescent="0.25">
      <c r="A277" s="127" t="str">
        <f>'патриотика0,31'!A306</f>
        <v>цемент 50 кг</v>
      </c>
      <c r="B277" s="84" t="s">
        <v>88</v>
      </c>
      <c r="C277" s="84">
        <v>1</v>
      </c>
      <c r="D277" s="487">
        <f>Лист1!C58*$A$218</f>
        <v>0.56000000000000005</v>
      </c>
      <c r="E277" s="486">
        <f>'патриотика0,31'!E306</f>
        <v>800</v>
      </c>
      <c r="F277" s="404">
        <f t="shared" si="13"/>
        <v>448.00000000000006</v>
      </c>
      <c r="G277" s="169"/>
      <c r="H277" s="7"/>
      <c r="I277" s="7"/>
      <c r="J277" s="142"/>
      <c r="K277" s="114"/>
      <c r="L277" s="143"/>
    </row>
    <row r="278" spans="1:12" ht="15.75" x14ac:dyDescent="0.25">
      <c r="A278" s="127" t="str">
        <f>'патриотика0,31'!A307</f>
        <v>эмаль аэрозоль</v>
      </c>
      <c r="B278" s="84" t="s">
        <v>88</v>
      </c>
      <c r="C278" s="84">
        <v>2</v>
      </c>
      <c r="D278" s="487">
        <f>Лист1!C59*$A$218</f>
        <v>1.4000000000000001</v>
      </c>
      <c r="E278" s="486">
        <f>'патриотика0,31'!E307</f>
        <v>193</v>
      </c>
      <c r="F278" s="404">
        <f t="shared" si="13"/>
        <v>270.20000000000005</v>
      </c>
      <c r="G278" s="169"/>
      <c r="H278" s="7"/>
      <c r="I278" s="7"/>
      <c r="J278" s="142"/>
      <c r="K278" s="114"/>
      <c r="L278" s="143"/>
    </row>
    <row r="279" spans="1:12" ht="15.75" x14ac:dyDescent="0.25">
      <c r="A279" s="127" t="str">
        <f>'патриотика0,31'!A308</f>
        <v>эмаль аэрозоль</v>
      </c>
      <c r="B279" s="84" t="s">
        <v>88</v>
      </c>
      <c r="C279" s="84">
        <v>2</v>
      </c>
      <c r="D279" s="487">
        <f>Лист1!C60*$A$218</f>
        <v>1.4000000000000001</v>
      </c>
      <c r="E279" s="486">
        <f>'патриотика0,31'!E308</f>
        <v>185</v>
      </c>
      <c r="F279" s="404">
        <f t="shared" si="13"/>
        <v>259</v>
      </c>
      <c r="G279" s="169"/>
      <c r="H279" s="7"/>
      <c r="I279" s="7"/>
      <c r="J279" s="142"/>
      <c r="K279" s="114"/>
      <c r="L279" s="143"/>
    </row>
    <row r="280" spans="1:12" ht="15.75" x14ac:dyDescent="0.25">
      <c r="A280" s="127" t="str">
        <f>'патриотика0,31'!A309</f>
        <v>рукав резина</v>
      </c>
      <c r="B280" s="84" t="s">
        <v>88</v>
      </c>
      <c r="C280" s="84">
        <v>3</v>
      </c>
      <c r="D280" s="487">
        <f>Лист1!C61*$A$218</f>
        <v>1.6800000000000002</v>
      </c>
      <c r="E280" s="486">
        <f>'патриотика0,31'!E309</f>
        <v>280</v>
      </c>
      <c r="F280" s="404">
        <f t="shared" si="13"/>
        <v>470.40000000000003</v>
      </c>
      <c r="G280" s="169"/>
      <c r="H280" s="7"/>
      <c r="I280" s="7"/>
      <c r="J280" s="142"/>
      <c r="K280" s="114"/>
      <c r="L280" s="143"/>
    </row>
    <row r="281" spans="1:12" ht="15.75" x14ac:dyDescent="0.25">
      <c r="A281" s="127" t="str">
        <f>'патриотика0,31'!A310</f>
        <v>лампа</v>
      </c>
      <c r="B281" s="84" t="s">
        <v>88</v>
      </c>
      <c r="C281" s="84">
        <v>4</v>
      </c>
      <c r="D281" s="487">
        <f>Лист1!C62*$A$218</f>
        <v>1.4000000000000001</v>
      </c>
      <c r="E281" s="486">
        <f>'патриотика0,31'!E310</f>
        <v>139</v>
      </c>
      <c r="F281" s="404">
        <f t="shared" si="13"/>
        <v>194.60000000000002</v>
      </c>
      <c r="G281" s="169"/>
      <c r="H281" s="7"/>
      <c r="I281" s="7"/>
      <c r="J281" s="142"/>
      <c r="K281" s="114"/>
      <c r="L281" s="143"/>
    </row>
    <row r="282" spans="1:12" ht="13.9" customHeight="1" x14ac:dyDescent="0.25">
      <c r="A282" s="127" t="str">
        <f>'патриотика0,31'!A311</f>
        <v>лампа энергосберегающая</v>
      </c>
      <c r="B282" s="84" t="s">
        <v>88</v>
      </c>
      <c r="C282" s="84">
        <v>5</v>
      </c>
      <c r="D282" s="487">
        <f>Лист1!C63*$A$218</f>
        <v>0.28000000000000003</v>
      </c>
      <c r="E282" s="486">
        <f>'патриотика0,31'!E311</f>
        <v>190</v>
      </c>
      <c r="F282" s="404">
        <f t="shared" si="13"/>
        <v>53.2</v>
      </c>
      <c r="G282" s="169"/>
      <c r="H282" s="7"/>
      <c r="I282" s="7"/>
      <c r="J282" s="142"/>
      <c r="K282" s="114"/>
      <c r="L282" s="143"/>
    </row>
    <row r="283" spans="1:12" ht="19.899999999999999" customHeight="1" x14ac:dyDescent="0.25">
      <c r="A283" s="127" t="str">
        <f>'патриотика0,31'!A312</f>
        <v>антифриз</v>
      </c>
      <c r="B283" s="84" t="s">
        <v>88</v>
      </c>
      <c r="C283" s="84">
        <v>6</v>
      </c>
      <c r="D283" s="487">
        <f>Лист1!C64*$A$218</f>
        <v>0.28000000000000003</v>
      </c>
      <c r="E283" s="486">
        <f>'патриотика0,31'!E312</f>
        <v>630</v>
      </c>
      <c r="F283" s="404">
        <f t="shared" si="13"/>
        <v>176.4</v>
      </c>
      <c r="G283" s="169"/>
      <c r="H283" s="7"/>
      <c r="I283" s="7"/>
      <c r="J283" s="142"/>
      <c r="K283" s="114"/>
      <c r="L283" s="143"/>
    </row>
    <row r="284" spans="1:12" ht="16.899999999999999" customHeight="1" x14ac:dyDescent="0.25">
      <c r="A284" s="127" t="str">
        <f>'патриотика0,31'!A313</f>
        <v>коврик автомобильный</v>
      </c>
      <c r="B284" s="84" t="s">
        <v>88</v>
      </c>
      <c r="C284" s="84">
        <v>7</v>
      </c>
      <c r="D284" s="487">
        <f>Лист1!C65*$A$218</f>
        <v>0.28000000000000003</v>
      </c>
      <c r="E284" s="486">
        <f>'патриотика0,31'!E313</f>
        <v>3400</v>
      </c>
      <c r="F284" s="404">
        <f t="shared" si="13"/>
        <v>952.00000000000011</v>
      </c>
      <c r="G284" s="169"/>
      <c r="H284" s="7"/>
      <c r="I284" s="7"/>
      <c r="J284" s="142"/>
      <c r="K284" s="114"/>
      <c r="L284" s="143"/>
    </row>
    <row r="285" spans="1:12" ht="15.75" x14ac:dyDescent="0.25">
      <c r="A285" s="127" t="str">
        <f>'патриотика0,31'!A314</f>
        <v>краска акрил</v>
      </c>
      <c r="B285" s="84" t="s">
        <v>88</v>
      </c>
      <c r="C285" s="84">
        <v>8</v>
      </c>
      <c r="D285" s="487">
        <f>Лист1!C66*$A$218</f>
        <v>0.84000000000000008</v>
      </c>
      <c r="E285" s="486">
        <f>'патриотика0,31'!E314</f>
        <v>1135</v>
      </c>
      <c r="F285" s="404">
        <f t="shared" si="13"/>
        <v>953.40000000000009</v>
      </c>
      <c r="G285" s="169"/>
      <c r="H285" s="7"/>
      <c r="I285" s="7"/>
      <c r="J285" s="142"/>
      <c r="K285" s="114"/>
      <c r="L285" s="143"/>
    </row>
    <row r="286" spans="1:12" ht="15.75" x14ac:dyDescent="0.25">
      <c r="A286" s="127" t="str">
        <f>'патриотика0,31'!A315</f>
        <v>валик</v>
      </c>
      <c r="B286" s="84" t="s">
        <v>88</v>
      </c>
      <c r="C286" s="84">
        <v>9</v>
      </c>
      <c r="D286" s="487">
        <f>Лист1!C67*$A$218</f>
        <v>1.1200000000000001</v>
      </c>
      <c r="E286" s="486">
        <f>'патриотика0,31'!E315</f>
        <v>72.5</v>
      </c>
      <c r="F286" s="404">
        <f t="shared" si="13"/>
        <v>81.2</v>
      </c>
      <c r="G286" s="169"/>
      <c r="H286" s="7"/>
      <c r="I286" s="7"/>
      <c r="J286" s="142"/>
      <c r="K286" s="114"/>
      <c r="L286" s="143"/>
    </row>
    <row r="287" spans="1:12" ht="15.75" x14ac:dyDescent="0.25">
      <c r="A287" s="127" t="str">
        <f>'патриотика0,31'!A316</f>
        <v>скотч маляр</v>
      </c>
      <c r="B287" s="84" t="s">
        <v>88</v>
      </c>
      <c r="C287" s="84">
        <v>10</v>
      </c>
      <c r="D287" s="487">
        <f>Лист1!C68*$A$218</f>
        <v>1.4000000000000001</v>
      </c>
      <c r="E287" s="486">
        <f>'патриотика0,31'!E316</f>
        <v>115</v>
      </c>
      <c r="F287" s="404">
        <f t="shared" si="13"/>
        <v>161.00000000000003</v>
      </c>
      <c r="G287" s="169"/>
      <c r="H287" s="7"/>
      <c r="I287" s="7"/>
      <c r="J287" s="142"/>
      <c r="K287" s="114"/>
      <c r="L287" s="143"/>
    </row>
    <row r="288" spans="1:12" ht="15.75" x14ac:dyDescent="0.25">
      <c r="A288" s="127" t="str">
        <f>'патриотика0,31'!A317</f>
        <v xml:space="preserve">колер </v>
      </c>
      <c r="B288" s="84" t="s">
        <v>88</v>
      </c>
      <c r="C288" s="84">
        <v>11</v>
      </c>
      <c r="D288" s="487">
        <f>Лист1!C69*$A$218</f>
        <v>1.4000000000000001</v>
      </c>
      <c r="E288" s="486">
        <f>'патриотика0,31'!E317</f>
        <v>161</v>
      </c>
      <c r="F288" s="404">
        <f t="shared" si="13"/>
        <v>225.40000000000003</v>
      </c>
      <c r="G288" s="169"/>
      <c r="H288" s="7"/>
      <c r="I288" s="7"/>
      <c r="J288" s="142"/>
      <c r="K288" s="114"/>
      <c r="L288" s="143"/>
    </row>
    <row r="289" spans="1:12" ht="15.75" x14ac:dyDescent="0.25">
      <c r="A289" s="127" t="str">
        <f>'патриотика0,31'!A318</f>
        <v>скотч маляр</v>
      </c>
      <c r="B289" s="84" t="s">
        <v>88</v>
      </c>
      <c r="C289" s="84">
        <v>12</v>
      </c>
      <c r="D289" s="487">
        <f>Лист1!C70*$A$218</f>
        <v>3.08</v>
      </c>
      <c r="E289" s="486">
        <f>'патриотика0,31'!E318</f>
        <v>50</v>
      </c>
      <c r="F289" s="404">
        <f t="shared" si="13"/>
        <v>154</v>
      </c>
      <c r="G289" s="169"/>
      <c r="H289" s="7"/>
      <c r="I289" s="7"/>
      <c r="J289" s="142"/>
      <c r="K289" s="114"/>
      <c r="L289" s="143"/>
    </row>
    <row r="290" spans="1:12" ht="15.75" x14ac:dyDescent="0.25">
      <c r="A290" s="127" t="str">
        <f>'патриотика0,31'!A319</f>
        <v>паста колеровочная</v>
      </c>
      <c r="B290" s="84" t="s">
        <v>88</v>
      </c>
      <c r="C290" s="84">
        <v>13</v>
      </c>
      <c r="D290" s="487">
        <f>Лист1!C71*$A$218</f>
        <v>2.8000000000000003</v>
      </c>
      <c r="E290" s="486">
        <f>'патриотика0,31'!E319</f>
        <v>109</v>
      </c>
      <c r="F290" s="404">
        <f t="shared" si="13"/>
        <v>305.20000000000005</v>
      </c>
      <c r="G290" s="169"/>
      <c r="H290" s="7"/>
      <c r="I290" s="7"/>
      <c r="J290" s="142"/>
      <c r="K290" s="114"/>
      <c r="L290" s="143"/>
    </row>
    <row r="291" spans="1:12" ht="15.75" x14ac:dyDescent="0.25">
      <c r="A291" s="127" t="str">
        <f>'патриотика0,31'!A320</f>
        <v>колер</v>
      </c>
      <c r="B291" s="84" t="s">
        <v>88</v>
      </c>
      <c r="C291" s="84">
        <v>14</v>
      </c>
      <c r="D291" s="487">
        <f>Лист1!C72*$A$218</f>
        <v>2.2400000000000002</v>
      </c>
      <c r="E291" s="486">
        <f>'патриотика0,31'!E320</f>
        <v>50</v>
      </c>
      <c r="F291" s="404">
        <f t="shared" si="13"/>
        <v>112.00000000000001</v>
      </c>
      <c r="G291" s="169"/>
      <c r="H291" s="7"/>
      <c r="I291" s="7"/>
      <c r="J291" s="142"/>
      <c r="K291" s="114"/>
      <c r="L291" s="143"/>
    </row>
    <row r="292" spans="1:12" ht="15.75" x14ac:dyDescent="0.25">
      <c r="A292" s="127" t="str">
        <f>'патриотика0,31'!A321</f>
        <v>краска акрил</v>
      </c>
      <c r="B292" s="84" t="s">
        <v>88</v>
      </c>
      <c r="C292" s="84">
        <v>15</v>
      </c>
      <c r="D292" s="487">
        <f>Лист1!C73*$A$218</f>
        <v>0.28000000000000003</v>
      </c>
      <c r="E292" s="486">
        <f>'патриотика0,31'!E321</f>
        <v>360</v>
      </c>
      <c r="F292" s="404">
        <f t="shared" si="13"/>
        <v>100.80000000000001</v>
      </c>
      <c r="G292" s="169"/>
      <c r="H292" s="7"/>
      <c r="I292" s="7"/>
      <c r="J292" s="142"/>
      <c r="K292" s="114"/>
      <c r="L292" s="143"/>
    </row>
    <row r="293" spans="1:12" ht="15.75" x14ac:dyDescent="0.25">
      <c r="A293" s="127" t="str">
        <f>'патриотика0,31'!A322</f>
        <v>насадка на валик</v>
      </c>
      <c r="B293" s="84" t="s">
        <v>88</v>
      </c>
      <c r="C293" s="84">
        <v>16</v>
      </c>
      <c r="D293" s="487">
        <f>Лист1!C74*$A$218</f>
        <v>1.1200000000000001</v>
      </c>
      <c r="E293" s="486">
        <f>'патриотика0,31'!E322</f>
        <v>20</v>
      </c>
      <c r="F293" s="404">
        <f t="shared" ref="F293:F356" si="16">D293*E293</f>
        <v>22.400000000000002</v>
      </c>
      <c r="G293" s="169"/>
      <c r="H293" s="7"/>
      <c r="I293" s="7"/>
      <c r="J293" s="142"/>
      <c r="K293" s="114"/>
      <c r="L293" s="143"/>
    </row>
    <row r="294" spans="1:12" ht="15.75" x14ac:dyDescent="0.25">
      <c r="A294" s="127" t="str">
        <f>'патриотика0,31'!A323</f>
        <v>HDMI кабель 5м</v>
      </c>
      <c r="B294" s="84" t="s">
        <v>88</v>
      </c>
      <c r="C294" s="84">
        <v>17</v>
      </c>
      <c r="D294" s="487">
        <f>Лист1!C75*$A$218</f>
        <v>0.28000000000000003</v>
      </c>
      <c r="E294" s="486">
        <f>'патриотика0,31'!E323</f>
        <v>600</v>
      </c>
      <c r="F294" s="404">
        <f t="shared" si="16"/>
        <v>168.00000000000003</v>
      </c>
      <c r="G294" s="169"/>
      <c r="H294" s="7"/>
      <c r="I294" s="7"/>
      <c r="J294" s="142"/>
      <c r="K294" s="114"/>
      <c r="L294" s="143"/>
    </row>
    <row r="295" spans="1:12" ht="15.75" x14ac:dyDescent="0.25">
      <c r="A295" s="127" t="str">
        <f>'патриотика0,31'!A324</f>
        <v>HDMI кабель 10м</v>
      </c>
      <c r="B295" s="84" t="s">
        <v>88</v>
      </c>
      <c r="C295" s="84">
        <v>18</v>
      </c>
      <c r="D295" s="487">
        <f>Лист1!C76*$A$218</f>
        <v>0.28000000000000003</v>
      </c>
      <c r="E295" s="486">
        <f>'патриотика0,31'!E324</f>
        <v>900</v>
      </c>
      <c r="F295" s="404">
        <f t="shared" si="16"/>
        <v>252.00000000000003</v>
      </c>
      <c r="G295" s="169"/>
      <c r="H295" s="7"/>
      <c r="I295" s="7"/>
      <c r="J295" s="142"/>
      <c r="K295" s="114"/>
      <c r="L295" s="143"/>
    </row>
    <row r="296" spans="1:12" ht="15.75" x14ac:dyDescent="0.25">
      <c r="A296" s="127" t="str">
        <f>'патриотика0,31'!A325</f>
        <v>сумка для ноутбука</v>
      </c>
      <c r="B296" s="84" t="s">
        <v>88</v>
      </c>
      <c r="C296" s="84">
        <v>19</v>
      </c>
      <c r="D296" s="487">
        <f>Лист1!C77*$A$218</f>
        <v>0.84000000000000008</v>
      </c>
      <c r="E296" s="486">
        <f>'патриотика0,31'!E325</f>
        <v>1400</v>
      </c>
      <c r="F296" s="404">
        <f t="shared" si="16"/>
        <v>1176</v>
      </c>
      <c r="G296" s="169"/>
      <c r="H296" s="7"/>
      <c r="I296" s="7"/>
      <c r="J296" s="142"/>
      <c r="K296" s="114"/>
      <c r="L296" s="143"/>
    </row>
    <row r="297" spans="1:12" ht="15.75" x14ac:dyDescent="0.25">
      <c r="A297" s="127" t="str">
        <f>'патриотика0,31'!A326</f>
        <v>флеш карта</v>
      </c>
      <c r="B297" s="84" t="s">
        <v>88</v>
      </c>
      <c r="C297" s="84">
        <v>20</v>
      </c>
      <c r="D297" s="487">
        <f>Лист1!C78*$A$218</f>
        <v>1.6800000000000002</v>
      </c>
      <c r="E297" s="486">
        <f>'патриотика0,31'!E326</f>
        <v>700</v>
      </c>
      <c r="F297" s="404">
        <f t="shared" si="16"/>
        <v>1176</v>
      </c>
      <c r="G297" s="169"/>
      <c r="H297" s="7"/>
      <c r="I297" s="7"/>
      <c r="J297" s="142"/>
      <c r="K297" s="114"/>
      <c r="L297" s="143"/>
    </row>
    <row r="298" spans="1:12" ht="15.75" x14ac:dyDescent="0.25">
      <c r="A298" s="127" t="str">
        <f>'патриотика0,31'!A327</f>
        <v>кулер для процессора</v>
      </c>
      <c r="B298" s="84" t="s">
        <v>88</v>
      </c>
      <c r="C298" s="84">
        <v>21</v>
      </c>
      <c r="D298" s="487">
        <f>Лист1!C79*$A$218</f>
        <v>0.28000000000000003</v>
      </c>
      <c r="E298" s="486">
        <f>'патриотика0,31'!E327</f>
        <v>700</v>
      </c>
      <c r="F298" s="404">
        <f t="shared" si="16"/>
        <v>196.00000000000003</v>
      </c>
      <c r="G298" s="169"/>
      <c r="H298" s="7"/>
      <c r="I298" s="7"/>
      <c r="J298" s="142"/>
      <c r="K298" s="114"/>
      <c r="L298" s="143"/>
    </row>
    <row r="299" spans="1:12" ht="15.75" x14ac:dyDescent="0.25">
      <c r="A299" s="127" t="str">
        <f>'патриотика0,31'!A328</f>
        <v>блок питания</v>
      </c>
      <c r="B299" s="84" t="s">
        <v>88</v>
      </c>
      <c r="C299" s="84">
        <v>22</v>
      </c>
      <c r="D299" s="487">
        <f>Лист1!C80*$A$218</f>
        <v>0.28000000000000003</v>
      </c>
      <c r="E299" s="486">
        <f>'патриотика0,31'!E328</f>
        <v>1650</v>
      </c>
      <c r="F299" s="404">
        <f t="shared" si="16"/>
        <v>462.00000000000006</v>
      </c>
      <c r="G299" s="169"/>
      <c r="H299" s="7"/>
      <c r="I299" s="7"/>
      <c r="J299" s="142"/>
      <c r="K299" s="114"/>
      <c r="L299" s="143"/>
    </row>
    <row r="300" spans="1:12" ht="15.75" x14ac:dyDescent="0.25">
      <c r="A300" s="127" t="str">
        <f>'патриотика0,31'!A329</f>
        <v>клавиатура</v>
      </c>
      <c r="B300" s="84" t="s">
        <v>88</v>
      </c>
      <c r="C300" s="84">
        <v>23</v>
      </c>
      <c r="D300" s="487">
        <f>Лист1!C81*$A$218</f>
        <v>0.84000000000000008</v>
      </c>
      <c r="E300" s="486">
        <f>'патриотика0,31'!E329</f>
        <v>1700</v>
      </c>
      <c r="F300" s="404">
        <f t="shared" si="16"/>
        <v>1428.0000000000002</v>
      </c>
      <c r="G300" s="169"/>
      <c r="H300" s="7"/>
      <c r="I300" s="7"/>
      <c r="J300" s="142"/>
      <c r="K300" s="114"/>
      <c r="L300" s="143"/>
    </row>
    <row r="301" spans="1:12" ht="15.75" x14ac:dyDescent="0.25">
      <c r="A301" s="127" t="str">
        <f>'патриотика0,31'!A330</f>
        <v>снеговая лопата</v>
      </c>
      <c r="B301" s="84" t="s">
        <v>88</v>
      </c>
      <c r="C301" s="84">
        <v>24</v>
      </c>
      <c r="D301" s="487">
        <f>Лист1!C82*$A$218</f>
        <v>0.28000000000000003</v>
      </c>
      <c r="E301" s="486">
        <f>'патриотика0,31'!E330</f>
        <v>340</v>
      </c>
      <c r="F301" s="404">
        <f t="shared" si="16"/>
        <v>95.2</v>
      </c>
      <c r="G301" s="169"/>
      <c r="H301" s="7"/>
      <c r="I301" s="7"/>
      <c r="J301" s="142"/>
      <c r="K301" s="114"/>
      <c r="L301" s="143"/>
    </row>
    <row r="302" spans="1:12" ht="15.75" x14ac:dyDescent="0.25">
      <c r="A302" s="127" t="str">
        <f>'патриотика0,31'!A331</f>
        <v>уголок</v>
      </c>
      <c r="B302" s="84" t="s">
        <v>88</v>
      </c>
      <c r="C302" s="84">
        <v>25</v>
      </c>
      <c r="D302" s="487">
        <f>Лист1!C83*$A$218</f>
        <v>5.6000000000000005</v>
      </c>
      <c r="E302" s="486">
        <f>'патриотика0,31'!E331</f>
        <v>10</v>
      </c>
      <c r="F302" s="404">
        <f t="shared" si="16"/>
        <v>56.000000000000007</v>
      </c>
      <c r="G302" s="169"/>
      <c r="H302" s="7"/>
      <c r="I302" s="7"/>
      <c r="J302" s="142"/>
      <c r="K302" s="114"/>
      <c r="L302" s="143"/>
    </row>
    <row r="303" spans="1:12" ht="15.75" x14ac:dyDescent="0.25">
      <c r="A303" s="127" t="str">
        <f>'патриотика0,31'!A332</f>
        <v>перчатки</v>
      </c>
      <c r="B303" s="84" t="s">
        <v>88</v>
      </c>
      <c r="C303" s="84">
        <v>26</v>
      </c>
      <c r="D303" s="487">
        <f>Лист1!C84*$A$218</f>
        <v>0.28000000000000003</v>
      </c>
      <c r="E303" s="486">
        <f>'патриотика0,31'!E332</f>
        <v>160</v>
      </c>
      <c r="F303" s="404">
        <f t="shared" si="16"/>
        <v>44.800000000000004</v>
      </c>
      <c r="G303" s="169"/>
      <c r="H303" s="7"/>
      <c r="I303" s="7"/>
      <c r="J303" s="142"/>
      <c r="K303" s="114"/>
      <c r="L303" s="143"/>
    </row>
    <row r="304" spans="1:12" ht="15.75" x14ac:dyDescent="0.25">
      <c r="A304" s="127" t="str">
        <f>'патриотика0,31'!A333</f>
        <v>шпатель</v>
      </c>
      <c r="B304" s="84" t="s">
        <v>88</v>
      </c>
      <c r="C304" s="84">
        <v>27</v>
      </c>
      <c r="D304" s="487">
        <f>Лист1!C85*$A$218</f>
        <v>0.28000000000000003</v>
      </c>
      <c r="E304" s="486">
        <f>'патриотика0,31'!E333</f>
        <v>70</v>
      </c>
      <c r="F304" s="404">
        <f t="shared" si="16"/>
        <v>19.600000000000001</v>
      </c>
      <c r="G304" s="169"/>
      <c r="H304" s="7"/>
      <c r="I304" s="7"/>
      <c r="J304" s="142"/>
      <c r="K304" s="114"/>
      <c r="L304" s="143"/>
    </row>
    <row r="305" spans="1:12" ht="15.75" x14ac:dyDescent="0.25">
      <c r="A305" s="127" t="str">
        <f>'патриотика0,31'!A334</f>
        <v>шпатлевка</v>
      </c>
      <c r="B305" s="84" t="s">
        <v>88</v>
      </c>
      <c r="C305" s="84">
        <v>28</v>
      </c>
      <c r="D305" s="487">
        <f>Лист1!C86*$A$218</f>
        <v>0.28000000000000003</v>
      </c>
      <c r="E305" s="486">
        <f>'патриотика0,31'!E334</f>
        <v>110</v>
      </c>
      <c r="F305" s="404">
        <f t="shared" si="16"/>
        <v>30.800000000000004</v>
      </c>
      <c r="G305" s="169"/>
      <c r="H305" s="7"/>
      <c r="I305" s="7"/>
      <c r="J305" s="142"/>
      <c r="K305" s="114"/>
      <c r="L305" s="143"/>
    </row>
    <row r="306" spans="1:12" ht="15.75" x14ac:dyDescent="0.25">
      <c r="A306" s="127" t="str">
        <f>'патриотика0,31'!A335</f>
        <v>алебастр</v>
      </c>
      <c r="B306" s="84" t="s">
        <v>88</v>
      </c>
      <c r="C306" s="84">
        <v>29</v>
      </c>
      <c r="D306" s="487">
        <f>Лист1!C87*$A$218</f>
        <v>0.28000000000000003</v>
      </c>
      <c r="E306" s="486">
        <f>'патриотика0,31'!E335</f>
        <v>35</v>
      </c>
      <c r="F306" s="404">
        <f t="shared" si="16"/>
        <v>9.8000000000000007</v>
      </c>
      <c r="G306" s="169"/>
      <c r="H306" s="7"/>
      <c r="I306" s="7"/>
      <c r="J306" s="142"/>
      <c r="K306" s="114"/>
      <c r="L306" s="143"/>
    </row>
    <row r="307" spans="1:12" ht="15.75" x14ac:dyDescent="0.25">
      <c r="A307" s="127" t="str">
        <f>'патриотика0,31'!A336</f>
        <v>кран шаровый</v>
      </c>
      <c r="B307" s="84" t="s">
        <v>88</v>
      </c>
      <c r="C307" s="84">
        <v>30</v>
      </c>
      <c r="D307" s="487">
        <f>Лист1!C88*$A$218</f>
        <v>1.6800000000000002</v>
      </c>
      <c r="E307" s="486">
        <f>'патриотика0,31'!E336</f>
        <v>840</v>
      </c>
      <c r="F307" s="404">
        <f t="shared" si="16"/>
        <v>1411.2</v>
      </c>
      <c r="G307" s="169"/>
      <c r="H307" s="7"/>
      <c r="I307" s="7"/>
      <c r="J307" s="142"/>
      <c r="K307" s="114"/>
      <c r="L307" s="143"/>
    </row>
    <row r="308" spans="1:12" ht="15.75" x14ac:dyDescent="0.25">
      <c r="A308" s="127" t="str">
        <f>'патриотика0,31'!A337</f>
        <v>мешок зеленый</v>
      </c>
      <c r="B308" s="84" t="s">
        <v>88</v>
      </c>
      <c r="C308" s="84">
        <v>31</v>
      </c>
      <c r="D308" s="487">
        <f>Лист1!C89*$A$218</f>
        <v>14.000000000000002</v>
      </c>
      <c r="E308" s="486">
        <f>'патриотика0,31'!E337</f>
        <v>12</v>
      </c>
      <c r="F308" s="404">
        <f t="shared" si="16"/>
        <v>168.00000000000003</v>
      </c>
      <c r="G308" s="169"/>
      <c r="H308" s="7"/>
      <c r="I308" s="7"/>
      <c r="J308" s="142"/>
      <c r="K308" s="114"/>
      <c r="L308" s="143"/>
    </row>
    <row r="309" spans="1:12" ht="15.75" x14ac:dyDescent="0.25">
      <c r="A309" s="127" t="str">
        <f>'патриотика0,31'!A338</f>
        <v>настольная игра "тараканьи бега"</v>
      </c>
      <c r="B309" s="84" t="s">
        <v>88</v>
      </c>
      <c r="C309" s="84">
        <v>32</v>
      </c>
      <c r="D309" s="487">
        <f>Лист1!C90*$A$218</f>
        <v>0.28000000000000003</v>
      </c>
      <c r="E309" s="486">
        <f>'патриотика0,31'!E338</f>
        <v>2100</v>
      </c>
      <c r="F309" s="404">
        <f t="shared" si="16"/>
        <v>588</v>
      </c>
      <c r="G309" s="169"/>
      <c r="H309" s="7"/>
      <c r="I309" s="7"/>
      <c r="J309" s="142"/>
      <c r="K309" s="114"/>
      <c r="L309" s="143"/>
    </row>
    <row r="310" spans="1:12" ht="15.75" x14ac:dyDescent="0.25">
      <c r="A310" s="127" t="str">
        <f>'патриотика0,31'!A339</f>
        <v>настольная игра "Свинтус"</v>
      </c>
      <c r="B310" s="84" t="s">
        <v>88</v>
      </c>
      <c r="C310" s="84">
        <v>33</v>
      </c>
      <c r="D310" s="487">
        <f>Лист1!C91*$A$218</f>
        <v>0.28000000000000003</v>
      </c>
      <c r="E310" s="486">
        <f>'патриотика0,31'!E339</f>
        <v>1800</v>
      </c>
      <c r="F310" s="404">
        <f t="shared" si="16"/>
        <v>504.00000000000006</v>
      </c>
      <c r="G310" s="169"/>
      <c r="H310" s="7"/>
      <c r="I310" s="7"/>
      <c r="J310" s="142"/>
      <c r="K310" s="114"/>
      <c r="L310" s="143"/>
    </row>
    <row r="311" spans="1:12" ht="15.75" x14ac:dyDescent="0.25">
      <c r="A311" s="127" t="str">
        <f>'патриотика0,31'!A340</f>
        <v>настольная игра "мафия"</v>
      </c>
      <c r="B311" s="84" t="s">
        <v>88</v>
      </c>
      <c r="C311" s="84">
        <v>34</v>
      </c>
      <c r="D311" s="487">
        <f>Лист1!C92*$A$218</f>
        <v>0.28000000000000003</v>
      </c>
      <c r="E311" s="486">
        <f>'патриотика0,31'!E340</f>
        <v>2800</v>
      </c>
      <c r="F311" s="404">
        <f t="shared" si="16"/>
        <v>784.00000000000011</v>
      </c>
      <c r="G311" s="169"/>
      <c r="H311" s="7"/>
      <c r="I311" s="7"/>
      <c r="J311" s="142"/>
      <c r="K311" s="114"/>
      <c r="L311" s="143"/>
    </row>
    <row r="312" spans="1:12" ht="15.75" x14ac:dyDescent="0.25">
      <c r="A312" s="127" t="str">
        <f>'патриотика0,31'!A341</f>
        <v>мыло жидкое</v>
      </c>
      <c r="B312" s="84" t="s">
        <v>88</v>
      </c>
      <c r="C312" s="84">
        <v>35</v>
      </c>
      <c r="D312" s="487">
        <f>Лист1!C93*$A$218</f>
        <v>0.84000000000000008</v>
      </c>
      <c r="E312" s="486">
        <f>'патриотика0,31'!E341</f>
        <v>400</v>
      </c>
      <c r="F312" s="404">
        <f t="shared" si="16"/>
        <v>336.00000000000006</v>
      </c>
      <c r="G312" s="169"/>
      <c r="H312" s="7"/>
      <c r="I312" s="7"/>
      <c r="J312" s="142"/>
      <c r="K312" s="114"/>
      <c r="L312" s="143"/>
    </row>
    <row r="313" spans="1:12" ht="15.75" x14ac:dyDescent="0.25">
      <c r="A313" s="127" t="str">
        <f>'патриотика0,31'!A342</f>
        <v>насадка на швабру</v>
      </c>
      <c r="B313" s="84" t="s">
        <v>88</v>
      </c>
      <c r="C313" s="84">
        <v>36</v>
      </c>
      <c r="D313" s="487">
        <f>Лист1!C94*$A$218</f>
        <v>2.8000000000000003</v>
      </c>
      <c r="E313" s="486">
        <f>'патриотика0,31'!E342</f>
        <v>100</v>
      </c>
      <c r="F313" s="404">
        <f t="shared" si="16"/>
        <v>280</v>
      </c>
      <c r="G313" s="169"/>
      <c r="H313" s="7"/>
      <c r="I313" s="7"/>
      <c r="J313" s="142"/>
      <c r="K313" s="114"/>
      <c r="L313" s="143"/>
    </row>
    <row r="314" spans="1:12" ht="15.75" x14ac:dyDescent="0.25">
      <c r="A314" s="127" t="str">
        <f>'патриотика0,31'!A343</f>
        <v>ведро пластик</v>
      </c>
      <c r="B314" s="84" t="s">
        <v>88</v>
      </c>
      <c r="C314" s="84">
        <v>37</v>
      </c>
      <c r="D314" s="487">
        <f>Лист1!C95*$A$218</f>
        <v>0.56000000000000005</v>
      </c>
      <c r="E314" s="486">
        <f>'патриотика0,31'!E343</f>
        <v>280</v>
      </c>
      <c r="F314" s="404">
        <f t="shared" si="16"/>
        <v>156.80000000000001</v>
      </c>
      <c r="G314" s="169"/>
      <c r="H314" s="7"/>
      <c r="I314" s="7"/>
      <c r="J314" s="142"/>
      <c r="K314" s="114"/>
      <c r="L314" s="143"/>
    </row>
    <row r="315" spans="1:12" ht="15.75" x14ac:dyDescent="0.25">
      <c r="A315" s="127" t="str">
        <f>'патриотика0,31'!A344</f>
        <v>туал бумага</v>
      </c>
      <c r="B315" s="84" t="s">
        <v>88</v>
      </c>
      <c r="C315" s="84">
        <v>38</v>
      </c>
      <c r="D315" s="487">
        <f>Лист1!C96*$A$218</f>
        <v>14.000000000000002</v>
      </c>
      <c r="E315" s="486">
        <f>'патриотика0,31'!E344</f>
        <v>20</v>
      </c>
      <c r="F315" s="404">
        <f t="shared" si="16"/>
        <v>280.00000000000006</v>
      </c>
      <c r="G315" s="169"/>
      <c r="H315" s="7"/>
      <c r="I315" s="7"/>
      <c r="J315" s="142"/>
      <c r="K315" s="114"/>
      <c r="L315" s="143"/>
    </row>
    <row r="316" spans="1:12" ht="15.75" x14ac:dyDescent="0.25">
      <c r="A316" s="127" t="str">
        <f>'патриотика0,31'!A345</f>
        <v>кнопки силовые</v>
      </c>
      <c r="B316" s="84" t="s">
        <v>88</v>
      </c>
      <c r="C316" s="84">
        <v>39</v>
      </c>
      <c r="D316" s="487">
        <f>Лист1!C97*$A$218</f>
        <v>22.400000000000002</v>
      </c>
      <c r="E316" s="486">
        <f>'патриотика0,31'!E345</f>
        <v>5</v>
      </c>
      <c r="F316" s="404">
        <f t="shared" si="16"/>
        <v>112.00000000000001</v>
      </c>
      <c r="G316" s="169"/>
      <c r="H316" s="7"/>
      <c r="I316" s="7"/>
      <c r="J316" s="142"/>
      <c r="K316" s="114"/>
      <c r="L316" s="143"/>
    </row>
    <row r="317" spans="1:12" ht="15.75" x14ac:dyDescent="0.25">
      <c r="A317" s="127" t="str">
        <f>'патриотика0,31'!A346</f>
        <v>канц нож</v>
      </c>
      <c r="B317" s="84" t="s">
        <v>88</v>
      </c>
      <c r="C317" s="84">
        <v>40</v>
      </c>
      <c r="D317" s="487">
        <f>Лист1!C98*$A$218</f>
        <v>2.8000000000000003</v>
      </c>
      <c r="E317" s="486">
        <f>'патриотика0,31'!E346</f>
        <v>120</v>
      </c>
      <c r="F317" s="404">
        <f t="shared" si="16"/>
        <v>336.00000000000006</v>
      </c>
      <c r="G317" s="169"/>
      <c r="H317" s="7"/>
      <c r="I317" s="7"/>
      <c r="J317" s="142"/>
      <c r="K317" s="114"/>
      <c r="L317" s="143"/>
    </row>
    <row r="318" spans="1:12" ht="15.75" x14ac:dyDescent="0.25">
      <c r="A318" s="127" t="str">
        <f>'патриотика0,31'!A347</f>
        <v>нож для хобби</v>
      </c>
      <c r="B318" s="84" t="s">
        <v>88</v>
      </c>
      <c r="C318" s="84">
        <v>41</v>
      </c>
      <c r="D318" s="487">
        <f>Лист1!C99*$A$218</f>
        <v>1.4000000000000001</v>
      </c>
      <c r="E318" s="486">
        <f>'патриотика0,31'!E347</f>
        <v>260</v>
      </c>
      <c r="F318" s="404">
        <f t="shared" si="16"/>
        <v>364.00000000000006</v>
      </c>
      <c r="G318" s="169"/>
      <c r="H318" s="7"/>
      <c r="I318" s="7"/>
      <c r="J318" s="142"/>
      <c r="K318" s="114"/>
      <c r="L318" s="143"/>
    </row>
    <row r="319" spans="1:12" ht="15.75" x14ac:dyDescent="0.25">
      <c r="A319" s="127" t="str">
        <f>'патриотика0,31'!A348</f>
        <v>магниты для доски (уп 9 шт)</v>
      </c>
      <c r="B319" s="84" t="s">
        <v>88</v>
      </c>
      <c r="C319" s="84">
        <v>42</v>
      </c>
      <c r="D319" s="487">
        <f>Лист1!C100*$A$218</f>
        <v>1.4000000000000001</v>
      </c>
      <c r="E319" s="486">
        <f>'патриотика0,31'!E348</f>
        <v>300</v>
      </c>
      <c r="F319" s="404">
        <f t="shared" si="16"/>
        <v>420.00000000000006</v>
      </c>
      <c r="G319" s="169"/>
      <c r="H319" s="7"/>
      <c r="I319" s="7"/>
      <c r="J319" s="142"/>
      <c r="K319" s="114"/>
      <c r="L319" s="143"/>
    </row>
    <row r="320" spans="1:12" ht="15.75" x14ac:dyDescent="0.25">
      <c r="A320" s="127" t="str">
        <f>'патриотика0,31'!A349</f>
        <v>ежедневник</v>
      </c>
      <c r="B320" s="84" t="s">
        <v>88</v>
      </c>
      <c r="C320" s="84">
        <v>43</v>
      </c>
      <c r="D320" s="487">
        <f>Лист1!C101*$A$218</f>
        <v>1.4000000000000001</v>
      </c>
      <c r="E320" s="486">
        <f>'патриотика0,31'!E349</f>
        <v>650</v>
      </c>
      <c r="F320" s="404">
        <f t="shared" si="16"/>
        <v>910.00000000000011</v>
      </c>
      <c r="G320" s="169"/>
      <c r="H320" s="7"/>
      <c r="I320" s="7"/>
      <c r="J320" s="142"/>
      <c r="K320" s="114"/>
      <c r="L320" s="143"/>
    </row>
    <row r="321" spans="1:12" ht="15.75" x14ac:dyDescent="0.25">
      <c r="A321" s="127" t="str">
        <f>'патриотика0,31'!A350</f>
        <v>ср-во для стекол</v>
      </c>
      <c r="B321" s="84" t="s">
        <v>88</v>
      </c>
      <c r="C321" s="84">
        <v>44</v>
      </c>
      <c r="D321" s="487">
        <f>Лист1!C102*$A$218</f>
        <v>0.56000000000000005</v>
      </c>
      <c r="E321" s="486">
        <f>'патриотика0,31'!E350</f>
        <v>240</v>
      </c>
      <c r="F321" s="404">
        <f t="shared" si="16"/>
        <v>134.4</v>
      </c>
      <c r="G321" s="169"/>
      <c r="H321" s="7"/>
      <c r="I321" s="7"/>
      <c r="J321" s="142"/>
      <c r="K321" s="114"/>
      <c r="L321" s="143"/>
    </row>
    <row r="322" spans="1:12" ht="15.75" x14ac:dyDescent="0.25">
      <c r="A322" s="127" t="str">
        <f>'патриотика0,31'!A351</f>
        <v>пемолюкс</v>
      </c>
      <c r="B322" s="84" t="s">
        <v>88</v>
      </c>
      <c r="C322" s="84">
        <v>45</v>
      </c>
      <c r="D322" s="487">
        <f>Лист1!C103*$A$218</f>
        <v>2.8000000000000003</v>
      </c>
      <c r="E322" s="486">
        <f>'патриотика0,31'!E351</f>
        <v>60</v>
      </c>
      <c r="F322" s="404">
        <f t="shared" si="16"/>
        <v>168.00000000000003</v>
      </c>
      <c r="G322" s="169"/>
      <c r="H322" s="7"/>
      <c r="I322" s="7"/>
      <c r="J322" s="142"/>
      <c r="K322" s="114"/>
      <c r="L322" s="143"/>
    </row>
    <row r="323" spans="1:12" ht="15.75" x14ac:dyDescent="0.25">
      <c r="A323" s="127" t="str">
        <f>'патриотика0,31'!A352</f>
        <v>доместос</v>
      </c>
      <c r="B323" s="84" t="s">
        <v>88</v>
      </c>
      <c r="C323" s="84">
        <v>46</v>
      </c>
      <c r="D323" s="487">
        <f>Лист1!C104*$A$218</f>
        <v>1.1200000000000001</v>
      </c>
      <c r="E323" s="486">
        <f>'патриотика0,31'!E352</f>
        <v>95</v>
      </c>
      <c r="F323" s="404">
        <f t="shared" si="16"/>
        <v>106.4</v>
      </c>
      <c r="G323" s="169"/>
      <c r="H323" s="7"/>
      <c r="I323" s="7"/>
      <c r="J323" s="142"/>
      <c r="K323" s="114"/>
      <c r="L323" s="143"/>
    </row>
    <row r="324" spans="1:12" ht="15.75" x14ac:dyDescent="0.25">
      <c r="A324" s="127" t="str">
        <f>'патриотика0,31'!A353</f>
        <v>маркер</v>
      </c>
      <c r="B324" s="84" t="s">
        <v>88</v>
      </c>
      <c r="C324" s="84">
        <v>47</v>
      </c>
      <c r="D324" s="487">
        <f>Лист1!C105*$A$218</f>
        <v>8.4</v>
      </c>
      <c r="E324" s="486">
        <f>'патриотика0,31'!E353</f>
        <v>50</v>
      </c>
      <c r="F324" s="404">
        <f t="shared" si="16"/>
        <v>420</v>
      </c>
      <c r="G324" s="169"/>
      <c r="H324" s="7"/>
      <c r="I324" s="7"/>
      <c r="J324" s="142"/>
      <c r="K324" s="114"/>
      <c r="L324" s="143"/>
    </row>
    <row r="325" spans="1:12" ht="15.75" x14ac:dyDescent="0.25">
      <c r="A325" s="127" t="str">
        <f>'патриотика0,31'!A354</f>
        <v>тал блок освеж</v>
      </c>
      <c r="B325" s="84" t="s">
        <v>88</v>
      </c>
      <c r="C325" s="84">
        <v>48</v>
      </c>
      <c r="D325" s="487">
        <f>Лист1!C106*$A$218</f>
        <v>2.8000000000000003</v>
      </c>
      <c r="E325" s="486">
        <f>'патриотика0,31'!E354</f>
        <v>145</v>
      </c>
      <c r="F325" s="404">
        <f t="shared" si="16"/>
        <v>406.00000000000006</v>
      </c>
      <c r="G325" s="169"/>
      <c r="H325" s="7"/>
      <c r="I325" s="7"/>
      <c r="J325" s="142"/>
      <c r="K325" s="114"/>
      <c r="L325" s="143"/>
    </row>
    <row r="326" spans="1:12" ht="15.75" x14ac:dyDescent="0.25">
      <c r="A326" s="127" t="str">
        <f>'патриотика0,31'!A355</f>
        <v>футболка-поло белая с логотипом, мужская</v>
      </c>
      <c r="B326" s="84" t="s">
        <v>88</v>
      </c>
      <c r="C326" s="84">
        <v>49</v>
      </c>
      <c r="D326" s="487">
        <f>Лист1!C107*$A$218</f>
        <v>1.1200000000000001</v>
      </c>
      <c r="E326" s="486">
        <f>'патриотика0,31'!E355</f>
        <v>1050</v>
      </c>
      <c r="F326" s="404">
        <f t="shared" si="16"/>
        <v>1176</v>
      </c>
      <c r="G326" s="169"/>
      <c r="H326" s="7"/>
      <c r="I326" s="7"/>
      <c r="J326" s="142"/>
      <c r="K326" s="114"/>
      <c r="L326" s="143"/>
    </row>
    <row r="327" spans="1:12" ht="15.75" x14ac:dyDescent="0.25">
      <c r="A327" s="127" t="str">
        <f>'патриотика0,31'!A356</f>
        <v>футболка-поло белая с логотипом, женская</v>
      </c>
      <c r="B327" s="84" t="s">
        <v>88</v>
      </c>
      <c r="C327" s="84">
        <v>50</v>
      </c>
      <c r="D327" s="487">
        <f>Лист1!C108*$A$218</f>
        <v>2.5200000000000005</v>
      </c>
      <c r="E327" s="486">
        <f>'патриотика0,31'!E356</f>
        <v>950</v>
      </c>
      <c r="F327" s="404">
        <f t="shared" si="16"/>
        <v>2394.0000000000005</v>
      </c>
      <c r="G327" s="169"/>
      <c r="H327" s="7"/>
      <c r="I327" s="7"/>
      <c r="J327" s="142"/>
      <c r="K327" s="114"/>
      <c r="L327" s="143"/>
    </row>
    <row r="328" spans="1:12" ht="15.75" x14ac:dyDescent="0.25">
      <c r="A328" s="127" t="str">
        <f>'патриотика0,31'!A357</f>
        <v>радиатор медный</v>
      </c>
      <c r="B328" s="84" t="s">
        <v>88</v>
      </c>
      <c r="C328" s="84">
        <v>51</v>
      </c>
      <c r="D328" s="487">
        <f>Лист1!C109*$A$218</f>
        <v>0.28000000000000003</v>
      </c>
      <c r="E328" s="486">
        <f>'патриотика0,31'!E357</f>
        <v>15960</v>
      </c>
      <c r="F328" s="404">
        <f t="shared" si="16"/>
        <v>4468.8</v>
      </c>
      <c r="G328" s="169"/>
      <c r="H328" s="7"/>
      <c r="I328" s="7"/>
      <c r="J328" s="142"/>
      <c r="K328" s="114"/>
      <c r="L328" s="143"/>
    </row>
    <row r="329" spans="1:12" ht="12.75" customHeight="1" x14ac:dyDescent="0.25">
      <c r="A329" s="127" t="str">
        <f>'патриотика0,31'!A358</f>
        <v>гидротолкатель клапана</v>
      </c>
      <c r="B329" s="84" t="s">
        <v>88</v>
      </c>
      <c r="C329" s="84">
        <v>52</v>
      </c>
      <c r="D329" s="487">
        <f>Лист1!C110*$A$218</f>
        <v>0.56000000000000005</v>
      </c>
      <c r="E329" s="486">
        <f>'патриотика0,31'!E358</f>
        <v>2300</v>
      </c>
      <c r="F329" s="404">
        <f t="shared" si="16"/>
        <v>1288.0000000000002</v>
      </c>
      <c r="G329" s="169"/>
      <c r="H329" s="7"/>
      <c r="I329" s="7"/>
      <c r="J329" s="142"/>
      <c r="K329" s="114"/>
      <c r="L329" s="143"/>
    </row>
    <row r="330" spans="1:12" ht="15.75" x14ac:dyDescent="0.25">
      <c r="A330" s="127" t="str">
        <f>'патриотика0,31'!A359</f>
        <v>маслосъемные колпачки (16 шт)</v>
      </c>
      <c r="B330" s="84" t="s">
        <v>88</v>
      </c>
      <c r="C330" s="84">
        <v>53</v>
      </c>
      <c r="D330" s="487">
        <f>Лист1!C111*$A$218</f>
        <v>0.28000000000000003</v>
      </c>
      <c r="E330" s="486">
        <f>'патриотика0,31'!E359</f>
        <v>649</v>
      </c>
      <c r="F330" s="404">
        <f t="shared" si="16"/>
        <v>181.72000000000003</v>
      </c>
      <c r="G330" s="169"/>
      <c r="H330" s="7"/>
      <c r="I330" s="7"/>
      <c r="J330" s="142"/>
      <c r="K330" s="114"/>
      <c r="L330" s="143"/>
    </row>
    <row r="331" spans="1:12" ht="15.75" x14ac:dyDescent="0.25">
      <c r="A331" s="127" t="str">
        <f>'патриотика0,31'!A360</f>
        <v>к-т ГРМ (полный)</v>
      </c>
      <c r="B331" s="84" t="s">
        <v>88</v>
      </c>
      <c r="C331" s="84">
        <v>54</v>
      </c>
      <c r="D331" s="487">
        <f>Лист1!C112*$A$218</f>
        <v>0.28000000000000003</v>
      </c>
      <c r="E331" s="486">
        <f>'патриотика0,31'!E360</f>
        <v>6242</v>
      </c>
      <c r="F331" s="404">
        <f t="shared" si="16"/>
        <v>1747.7600000000002</v>
      </c>
      <c r="G331" s="169"/>
      <c r="H331" s="7"/>
      <c r="I331" s="7"/>
      <c r="J331" s="142"/>
      <c r="K331" s="114"/>
      <c r="L331" s="143"/>
    </row>
    <row r="332" spans="1:12" ht="15.75" x14ac:dyDescent="0.25">
      <c r="A332" s="127" t="str">
        <f>'патриотика0,31'!A361</f>
        <v>фланец упорный распредвала</v>
      </c>
      <c r="B332" s="84" t="s">
        <v>88</v>
      </c>
      <c r="C332" s="84">
        <v>55</v>
      </c>
      <c r="D332" s="487">
        <f>Лист1!C113*$A$218</f>
        <v>0.56000000000000005</v>
      </c>
      <c r="E332" s="486">
        <f>'патриотика0,31'!E361</f>
        <v>27</v>
      </c>
      <c r="F332" s="404">
        <f t="shared" si="16"/>
        <v>15.120000000000001</v>
      </c>
      <c r="G332" s="169"/>
      <c r="H332" s="7"/>
      <c r="I332" s="7"/>
      <c r="J332" s="142"/>
      <c r="K332" s="114"/>
      <c r="L332" s="143"/>
    </row>
    <row r="333" spans="1:12" ht="15.75" x14ac:dyDescent="0.25">
      <c r="A333" s="127" t="str">
        <f>'патриотика0,31'!A362</f>
        <v>гидронатяжитель цепи</v>
      </c>
      <c r="B333" s="84" t="s">
        <v>88</v>
      </c>
      <c r="C333" s="84">
        <v>56</v>
      </c>
      <c r="D333" s="487">
        <f>Лист1!C114*$A$218</f>
        <v>0.56000000000000005</v>
      </c>
      <c r="E333" s="486">
        <f>'патриотика0,31'!E362</f>
        <v>226</v>
      </c>
      <c r="F333" s="404">
        <f t="shared" si="16"/>
        <v>126.56000000000002</v>
      </c>
      <c r="G333" s="169"/>
      <c r="H333" s="7"/>
      <c r="I333" s="7"/>
      <c r="J333" s="142"/>
      <c r="K333" s="114"/>
      <c r="L333" s="143"/>
    </row>
    <row r="334" spans="1:12" ht="15.75" x14ac:dyDescent="0.25">
      <c r="A334" s="127" t="str">
        <f>'патриотика0,31'!A363</f>
        <v>прокладка головки блока</v>
      </c>
      <c r="B334" s="84" t="s">
        <v>88</v>
      </c>
      <c r="C334" s="84">
        <v>57</v>
      </c>
      <c r="D334" s="487">
        <f>Лист1!C115*$A$218</f>
        <v>0.28000000000000003</v>
      </c>
      <c r="E334" s="486">
        <f>'патриотика0,31'!E363</f>
        <v>1050</v>
      </c>
      <c r="F334" s="404">
        <f t="shared" si="16"/>
        <v>294</v>
      </c>
      <c r="G334" s="169"/>
      <c r="H334" s="7"/>
      <c r="I334" s="7"/>
      <c r="J334" s="142"/>
      <c r="K334" s="114"/>
      <c r="L334" s="143"/>
    </row>
    <row r="335" spans="1:12" ht="15.75" x14ac:dyDescent="0.25">
      <c r="A335" s="127" t="str">
        <f>'патриотика0,31'!A364</f>
        <v>к-т прокладок на дв.4091</v>
      </c>
      <c r="B335" s="84" t="s">
        <v>88</v>
      </c>
      <c r="C335" s="84">
        <v>58</v>
      </c>
      <c r="D335" s="487">
        <f>Лист1!C116*$A$218</f>
        <v>0.28000000000000003</v>
      </c>
      <c r="E335" s="486">
        <f>'патриотика0,31'!E364</f>
        <v>1037</v>
      </c>
      <c r="F335" s="404">
        <f t="shared" si="16"/>
        <v>290.36</v>
      </c>
      <c r="G335" s="169"/>
      <c r="H335" s="7"/>
      <c r="I335" s="7"/>
      <c r="J335" s="142"/>
      <c r="K335" s="114"/>
      <c r="L335" s="143"/>
    </row>
    <row r="336" spans="1:12" ht="15.75" x14ac:dyDescent="0.25">
      <c r="A336" s="127" t="str">
        <f>'патриотика0,31'!A365</f>
        <v>dextron iv</v>
      </c>
      <c r="B336" s="84" t="s">
        <v>88</v>
      </c>
      <c r="C336" s="84">
        <v>59</v>
      </c>
      <c r="D336" s="487">
        <f>Лист1!C117*$A$218</f>
        <v>0.28000000000000003</v>
      </c>
      <c r="E336" s="486">
        <f>'патриотика0,31'!E365</f>
        <v>725</v>
      </c>
      <c r="F336" s="404">
        <f t="shared" si="16"/>
        <v>203.00000000000003</v>
      </c>
      <c r="G336" s="169"/>
      <c r="H336" s="7"/>
      <c r="I336" s="7"/>
      <c r="J336" s="142"/>
      <c r="K336" s="114"/>
      <c r="L336" s="143"/>
    </row>
    <row r="337" spans="1:12" ht="15.75" x14ac:dyDescent="0.25">
      <c r="A337" s="127" t="str">
        <f>'патриотика0,31'!A366</f>
        <v>смазка (шрус)</v>
      </c>
      <c r="B337" s="84" t="s">
        <v>88</v>
      </c>
      <c r="C337" s="84">
        <v>60</v>
      </c>
      <c r="D337" s="487">
        <f>Лист1!C118*$A$218</f>
        <v>1.4000000000000001</v>
      </c>
      <c r="E337" s="486">
        <f>'патриотика0,31'!E366</f>
        <v>280</v>
      </c>
      <c r="F337" s="404">
        <f t="shared" si="16"/>
        <v>392.00000000000006</v>
      </c>
      <c r="G337" s="169"/>
      <c r="H337" s="7"/>
      <c r="I337" s="7"/>
      <c r="J337" s="142"/>
      <c r="K337" s="114"/>
      <c r="L337" s="143"/>
    </row>
    <row r="338" spans="1:12" ht="15.75" x14ac:dyDescent="0.25">
      <c r="A338" s="127" t="str">
        <f>'патриотика0,31'!A367</f>
        <v>смазка литол-24</v>
      </c>
      <c r="B338" s="84" t="s">
        <v>88</v>
      </c>
      <c r="C338" s="84">
        <v>61</v>
      </c>
      <c r="D338" s="487">
        <f>Лист1!C119*$A$218</f>
        <v>1.1200000000000001</v>
      </c>
      <c r="E338" s="486">
        <f>'патриотика0,31'!E367</f>
        <v>145</v>
      </c>
      <c r="F338" s="404">
        <f t="shared" si="16"/>
        <v>162.4</v>
      </c>
      <c r="G338" s="169"/>
      <c r="H338" s="7"/>
      <c r="I338" s="7"/>
      <c r="J338" s="142"/>
      <c r="K338" s="114"/>
      <c r="L338" s="143"/>
    </row>
    <row r="339" spans="1:12" ht="15.75" x14ac:dyDescent="0.25">
      <c r="A339" s="127" t="str">
        <f>'патриотика0,31'!A368</f>
        <v>тормозная жидкость (0,910 кг)</v>
      </c>
      <c r="B339" s="84" t="s">
        <v>88</v>
      </c>
      <c r="C339" s="84">
        <v>62</v>
      </c>
      <c r="D339" s="487">
        <f>Лист1!C120*$A$218</f>
        <v>0.56000000000000005</v>
      </c>
      <c r="E339" s="486">
        <f>'патриотика0,31'!E368</f>
        <v>250</v>
      </c>
      <c r="F339" s="404">
        <f t="shared" si="16"/>
        <v>140</v>
      </c>
      <c r="G339" s="169"/>
      <c r="H339" s="7"/>
      <c r="I339" s="7"/>
      <c r="J339" s="142"/>
      <c r="K339" s="114"/>
      <c r="L339" s="143"/>
    </row>
    <row r="340" spans="1:12" ht="15.75" x14ac:dyDescent="0.25">
      <c r="A340" s="127" t="str">
        <f>'патриотика0,31'!A369</f>
        <v>шайба, гайка,сверло</v>
      </c>
      <c r="B340" s="84" t="s">
        <v>88</v>
      </c>
      <c r="C340" s="84">
        <v>63</v>
      </c>
      <c r="D340" s="487">
        <f>Лист1!C121*$A$218</f>
        <v>0.28000000000000003</v>
      </c>
      <c r="E340" s="486">
        <f>'патриотика0,31'!E369</f>
        <v>180</v>
      </c>
      <c r="F340" s="404">
        <f t="shared" si="16"/>
        <v>50.400000000000006</v>
      </c>
      <c r="G340" s="169"/>
      <c r="H340" s="7"/>
      <c r="I340" s="7"/>
      <c r="J340" s="142"/>
      <c r="K340" s="114"/>
      <c r="L340" s="143"/>
    </row>
    <row r="341" spans="1:12" ht="15.75" x14ac:dyDescent="0.25">
      <c r="A341" s="127" t="str">
        <f>'патриотика0,31'!A370</f>
        <v>саморез</v>
      </c>
      <c r="B341" s="84" t="s">
        <v>88</v>
      </c>
      <c r="C341" s="84">
        <v>64</v>
      </c>
      <c r="D341" s="487">
        <f>Лист1!C122*$A$218</f>
        <v>8.4</v>
      </c>
      <c r="E341" s="486">
        <f>'патриотика0,31'!E370</f>
        <v>10</v>
      </c>
      <c r="F341" s="489">
        <f t="shared" si="16"/>
        <v>84</v>
      </c>
      <c r="G341" s="169"/>
      <c r="H341" s="7"/>
      <c r="I341" s="7"/>
      <c r="J341" s="142"/>
      <c r="K341" s="114"/>
      <c r="L341" s="143"/>
    </row>
    <row r="342" spans="1:12" ht="15.75" x14ac:dyDescent="0.25">
      <c r="A342" s="127" t="str">
        <f>'патриотика0,31'!A371</f>
        <v>брелок</v>
      </c>
      <c r="B342" s="84" t="s">
        <v>88</v>
      </c>
      <c r="C342" s="84">
        <v>65</v>
      </c>
      <c r="D342" s="487">
        <f>Лист1!C123*$A$218</f>
        <v>5.6000000000000005</v>
      </c>
      <c r="E342" s="486">
        <f>'патриотика0,31'!E371</f>
        <v>20</v>
      </c>
      <c r="F342" s="489">
        <f t="shared" si="16"/>
        <v>112.00000000000001</v>
      </c>
      <c r="G342" s="169"/>
      <c r="H342" s="7"/>
      <c r="I342" s="7"/>
      <c r="J342" s="142"/>
      <c r="K342" s="114"/>
      <c r="L342" s="143"/>
    </row>
    <row r="343" spans="1:12" ht="30" x14ac:dyDescent="0.25">
      <c r="A343" s="127" t="str">
        <f>'патриотика0,31'!A372</f>
        <v>Тарелка опорная ЗУБР "МАСТЕР" пластиковая для УШМ под круг на липучке, d 125 мм, М14</v>
      </c>
      <c r="B343" s="84" t="s">
        <v>88</v>
      </c>
      <c r="C343" s="84">
        <v>66</v>
      </c>
      <c r="D343" s="487">
        <f>Лист1!C124*$A$218</f>
        <v>0.56000000000000005</v>
      </c>
      <c r="E343" s="486">
        <f>'патриотика0,31'!E372</f>
        <v>225</v>
      </c>
      <c r="F343" s="489">
        <f t="shared" si="16"/>
        <v>126.00000000000001</v>
      </c>
      <c r="G343" s="169"/>
      <c r="H343" s="7"/>
      <c r="I343" s="7"/>
      <c r="J343" s="142"/>
      <c r="K343" s="114"/>
      <c r="L343" s="143"/>
    </row>
    <row r="344" spans="1:12" ht="30" x14ac:dyDescent="0.25">
      <c r="A344" s="127" t="str">
        <f>'патриотика0,31'!A373</f>
        <v>Круг шлифовальный ЗУБР "МАСТЕР"  универс., из абразивной бумаги на велкро основе, б/отверстий, Р320</v>
      </c>
      <c r="B344" s="84" t="s">
        <v>88</v>
      </c>
      <c r="C344" s="84">
        <v>67</v>
      </c>
      <c r="D344" s="487">
        <f>Лист1!C125*$A$218</f>
        <v>0.56000000000000005</v>
      </c>
      <c r="E344" s="486">
        <f>'патриотика0,31'!E373</f>
        <v>110</v>
      </c>
      <c r="F344" s="489">
        <f t="shared" si="16"/>
        <v>61.600000000000009</v>
      </c>
      <c r="G344" s="169"/>
      <c r="H344" s="7"/>
      <c r="I344" s="7"/>
      <c r="J344" s="142"/>
      <c r="K344" s="114"/>
      <c r="L344" s="143"/>
    </row>
    <row r="345" spans="1:12" ht="30" x14ac:dyDescent="0.25">
      <c r="A345" s="127" t="str">
        <f>'патриотика0,31'!A374</f>
        <v>Круг шлифовальный ЗУБР "МАСТЕР"  универс., из абразивной бумаги на велкро основе, б/отверстий, Р180</v>
      </c>
      <c r="B345" s="84" t="s">
        <v>88</v>
      </c>
      <c r="C345" s="84">
        <v>68</v>
      </c>
      <c r="D345" s="487">
        <f>Лист1!C126*$A$218</f>
        <v>0.56000000000000005</v>
      </c>
      <c r="E345" s="486">
        <f>'патриотика0,31'!E374</f>
        <v>110</v>
      </c>
      <c r="F345" s="489">
        <f t="shared" si="16"/>
        <v>61.600000000000009</v>
      </c>
      <c r="G345" s="169"/>
      <c r="H345" s="7"/>
      <c r="I345" s="7"/>
      <c r="J345" s="142"/>
      <c r="K345" s="114"/>
      <c r="L345" s="143"/>
    </row>
    <row r="346" spans="1:12" ht="15.75" x14ac:dyDescent="0.25">
      <c r="A346" s="127" t="str">
        <f>'патриотика0,31'!A375</f>
        <v>Аптечка нового образца "Мицар" 17,5x15x7см ПЛАСТИК</v>
      </c>
      <c r="B346" s="84" t="s">
        <v>88</v>
      </c>
      <c r="C346" s="84">
        <v>69</v>
      </c>
      <c r="D346" s="487">
        <f>Лист1!C127*$A$218</f>
        <v>0.56000000000000005</v>
      </c>
      <c r="E346" s="486">
        <f>'патриотика0,31'!E375</f>
        <v>260</v>
      </c>
      <c r="F346" s="489">
        <f t="shared" si="16"/>
        <v>145.60000000000002</v>
      </c>
      <c r="G346" s="169"/>
      <c r="H346" s="7"/>
      <c r="I346" s="7"/>
      <c r="J346" s="142"/>
      <c r="K346" s="114"/>
      <c r="L346" s="143"/>
    </row>
    <row r="347" spans="1:12" ht="15.75" x14ac:dyDescent="0.25">
      <c r="A347" s="127" t="str">
        <f>'патриотика0,31'!A376</f>
        <v>Саморез по гипсокартону, дереву, ДСП черный фосфат 3,5х45 (2000шт.)</v>
      </c>
      <c r="B347" s="84" t="s">
        <v>88</v>
      </c>
      <c r="C347" s="84">
        <v>70</v>
      </c>
      <c r="D347" s="487">
        <f>Лист1!C128*$A$218</f>
        <v>252.00000000000003</v>
      </c>
      <c r="E347" s="486">
        <f>'патриотика0,31'!E376</f>
        <v>1</v>
      </c>
      <c r="F347" s="489">
        <f t="shared" si="16"/>
        <v>252.00000000000003</v>
      </c>
      <c r="G347" s="169"/>
      <c r="H347" s="7"/>
      <c r="I347" s="7"/>
      <c r="J347" s="142"/>
      <c r="K347" s="114"/>
      <c r="L347" s="143"/>
    </row>
    <row r="348" spans="1:12" ht="15.75" x14ac:dyDescent="0.25">
      <c r="A348" s="127" t="str">
        <f>'патриотика0,31'!A377</f>
        <v>Саморез по гипсокартону, дереву, ДСП черный фосфат 4,8х102 (400шт.)</v>
      </c>
      <c r="B348" s="84" t="s">
        <v>88</v>
      </c>
      <c r="C348" s="84">
        <v>71</v>
      </c>
      <c r="D348" s="487">
        <f>Лист1!C129*$A$218</f>
        <v>64.400000000000006</v>
      </c>
      <c r="E348" s="486">
        <f>'патриотика0,31'!E377</f>
        <v>4</v>
      </c>
      <c r="F348" s="489">
        <f t="shared" si="16"/>
        <v>257.60000000000002</v>
      </c>
      <c r="G348" s="169"/>
      <c r="H348" s="7"/>
      <c r="I348" s="7"/>
      <c r="J348" s="142"/>
      <c r="K348" s="114"/>
      <c r="L348" s="143"/>
    </row>
    <row r="349" spans="1:12" ht="15.75" x14ac:dyDescent="0.25">
      <c r="A349" s="127" t="str">
        <f>'патриотика0,31'!A378</f>
        <v>Уголок крепежный универсальный цинк 100*100*60*2,0мм /50/</v>
      </c>
      <c r="B349" s="84" t="s">
        <v>88</v>
      </c>
      <c r="C349" s="84">
        <v>72</v>
      </c>
      <c r="D349" s="487">
        <f>Лист1!C130*$A$218</f>
        <v>2.2400000000000002</v>
      </c>
      <c r="E349" s="486">
        <f>'патриотика0,31'!E378</f>
        <v>35</v>
      </c>
      <c r="F349" s="489">
        <f t="shared" si="16"/>
        <v>78.400000000000006</v>
      </c>
      <c r="G349" s="169"/>
      <c r="H349" s="7"/>
      <c r="I349" s="7"/>
      <c r="J349" s="142"/>
      <c r="K349" s="114"/>
      <c r="L349" s="143"/>
    </row>
    <row r="350" spans="1:12" ht="15.75" x14ac:dyDescent="0.25">
      <c r="A350" s="127" t="str">
        <f>'патриотика0,31'!A379</f>
        <v>Уголок крепежный универсальный цинк 80*80*40*2,0мм /100/</v>
      </c>
      <c r="B350" s="84" t="s">
        <v>88</v>
      </c>
      <c r="C350" s="84">
        <v>73</v>
      </c>
      <c r="D350" s="487">
        <f>Лист1!C131*$A$218</f>
        <v>3.9200000000000004</v>
      </c>
      <c r="E350" s="486">
        <f>'патриотика0,31'!E379</f>
        <v>20</v>
      </c>
      <c r="F350" s="489">
        <f t="shared" si="16"/>
        <v>78.400000000000006</v>
      </c>
      <c r="G350" s="169"/>
      <c r="H350" s="7"/>
      <c r="I350" s="7"/>
      <c r="J350" s="142"/>
      <c r="K350" s="114"/>
      <c r="L350" s="143"/>
    </row>
    <row r="351" spans="1:12" ht="15.75" x14ac:dyDescent="0.25">
      <c r="A351" s="127" t="str">
        <f>'патриотика0,31'!A380</f>
        <v>Уголок крепежный универсальный цинк 50*50*60*2,0мм /100/</v>
      </c>
      <c r="B351" s="84" t="s">
        <v>88</v>
      </c>
      <c r="C351" s="84">
        <v>74</v>
      </c>
      <c r="D351" s="487">
        <f>Лист1!C132*$A$218</f>
        <v>5.6000000000000005</v>
      </c>
      <c r="E351" s="486">
        <f>'патриотика0,31'!E380</f>
        <v>20</v>
      </c>
      <c r="F351" s="489">
        <f t="shared" si="16"/>
        <v>112.00000000000001</v>
      </c>
      <c r="G351" s="169"/>
      <c r="H351" s="7"/>
      <c r="I351" s="7"/>
      <c r="J351" s="142"/>
      <c r="K351" s="114"/>
      <c r="L351" s="143"/>
    </row>
    <row r="352" spans="1:12" ht="15.75" x14ac:dyDescent="0.25">
      <c r="A352" s="127" t="str">
        <f>'патриотика0,31'!A381</f>
        <v>Пластина крепежная универсальная цинк 200*60*2,0мм /50/</v>
      </c>
      <c r="B352" s="84" t="s">
        <v>88</v>
      </c>
      <c r="C352" s="84">
        <v>75</v>
      </c>
      <c r="D352" s="487">
        <f>Лист1!C133*$A$218</f>
        <v>2.8000000000000003</v>
      </c>
      <c r="E352" s="486">
        <f>'патриотика0,31'!E381</f>
        <v>35</v>
      </c>
      <c r="F352" s="489">
        <f t="shared" si="16"/>
        <v>98.000000000000014</v>
      </c>
      <c r="G352" s="169"/>
      <c r="H352" s="7"/>
      <c r="I352" s="7"/>
      <c r="J352" s="142"/>
      <c r="K352" s="114"/>
      <c r="L352" s="143"/>
    </row>
    <row r="353" spans="1:12" ht="15.75" x14ac:dyDescent="0.25">
      <c r="A353" s="127" t="str">
        <f>'патриотика0,31'!A382</f>
        <v>Сверло по металлу 6,0мм ТОМСК 10902В</v>
      </c>
      <c r="B353" s="84" t="s">
        <v>88</v>
      </c>
      <c r="C353" s="84">
        <v>76</v>
      </c>
      <c r="D353" s="487">
        <f>Лист1!C134*$A$218</f>
        <v>0.56000000000000005</v>
      </c>
      <c r="E353" s="486">
        <f>'патриотика0,31'!E382</f>
        <v>21</v>
      </c>
      <c r="F353" s="489">
        <f t="shared" si="16"/>
        <v>11.760000000000002</v>
      </c>
      <c r="G353" s="169"/>
      <c r="H353" s="7"/>
      <c r="I353" s="7"/>
      <c r="J353" s="142"/>
      <c r="K353" s="114"/>
      <c r="L353" s="143"/>
    </row>
    <row r="354" spans="1:12" ht="15.75" x14ac:dyDescent="0.25">
      <c r="A354" s="127" t="str">
        <f>'патриотика0,31'!A383</f>
        <v>Биты  ХК RSG 10 шт, РН2 х 70 мм, сталь S2 /120/</v>
      </c>
      <c r="B354" s="84" t="s">
        <v>88</v>
      </c>
      <c r="C354" s="84">
        <v>77</v>
      </c>
      <c r="D354" s="487">
        <f>Лист1!C135*$A$218</f>
        <v>1.1200000000000001</v>
      </c>
      <c r="E354" s="486">
        <f>'патриотика0,31'!E383</f>
        <v>21</v>
      </c>
      <c r="F354" s="489">
        <f t="shared" si="16"/>
        <v>23.520000000000003</v>
      </c>
      <c r="G354" s="169"/>
      <c r="H354" s="7"/>
      <c r="I354" s="7"/>
      <c r="J354" s="142"/>
      <c r="K354" s="114"/>
      <c r="L354" s="143"/>
    </row>
    <row r="355" spans="1:12" ht="15.75" x14ac:dyDescent="0.25">
      <c r="A355" s="127" t="str">
        <f>'патриотика0,31'!A384</f>
        <v>Хомут  нейлоновый 2,5х200мм 100шт белый /10/100/</v>
      </c>
      <c r="B355" s="84" t="s">
        <v>88</v>
      </c>
      <c r="C355" s="84">
        <v>78</v>
      </c>
      <c r="D355" s="487">
        <f>Лист1!C136*$A$218</f>
        <v>0.28000000000000003</v>
      </c>
      <c r="E355" s="486">
        <f>'патриотика0,31'!E384</f>
        <v>65</v>
      </c>
      <c r="F355" s="489">
        <f t="shared" si="16"/>
        <v>18.200000000000003</v>
      </c>
      <c r="G355" s="169"/>
      <c r="H355" s="7"/>
      <c r="I355" s="7"/>
      <c r="J355" s="142"/>
      <c r="K355" s="114"/>
      <c r="L355" s="143"/>
    </row>
    <row r="356" spans="1:12" ht="15.75" x14ac:dyDescent="0.25">
      <c r="A356" s="127" t="str">
        <f>'патриотика0,31'!A385</f>
        <v>Хомут  нейлоновый 3,6х300мм 100шт белый /10/150/</v>
      </c>
      <c r="B356" s="84" t="s">
        <v>88</v>
      </c>
      <c r="C356" s="84">
        <v>79</v>
      </c>
      <c r="D356" s="487">
        <f>Лист1!C137*$A$218</f>
        <v>0.28000000000000003</v>
      </c>
      <c r="E356" s="486">
        <f>'патриотика0,31'!E385</f>
        <v>150</v>
      </c>
      <c r="F356" s="489">
        <f t="shared" si="16"/>
        <v>42.000000000000007</v>
      </c>
      <c r="G356" s="169"/>
      <c r="H356" s="7"/>
      <c r="I356" s="7"/>
      <c r="J356" s="142"/>
      <c r="K356" s="114"/>
      <c r="L356" s="143"/>
    </row>
    <row r="357" spans="1:12" ht="15.75" x14ac:dyDescent="0.25">
      <c r="A357" s="127" t="str">
        <f>'патриотика0,31'!A386</f>
        <v>Набор АНИ с бок подв 1/2 пл кнопка белая  WС8010 /20/</v>
      </c>
      <c r="B357" s="84" t="s">
        <v>88</v>
      </c>
      <c r="C357" s="84">
        <v>80</v>
      </c>
      <c r="D357" s="487">
        <f>Лист1!C138*$A$218</f>
        <v>0.28000000000000003</v>
      </c>
      <c r="E357" s="486">
        <f>'патриотика0,31'!E386</f>
        <v>580</v>
      </c>
      <c r="F357" s="489">
        <f t="shared" ref="F357:F378" si="17">D357*E357</f>
        <v>162.4</v>
      </c>
      <c r="G357" s="169"/>
      <c r="H357" s="7"/>
      <c r="I357" s="7"/>
      <c r="J357" s="142"/>
      <c r="K357" s="114"/>
      <c r="L357" s="143"/>
    </row>
    <row r="358" spans="1:12" ht="15.75" x14ac:dyDescent="0.25">
      <c r="A358" s="127" t="str">
        <f>'патриотика0,31'!A387</f>
        <v>Набор с бок подв АНИ шток пластик эконом  WС4050 /20/</v>
      </c>
      <c r="B358" s="84" t="s">
        <v>88</v>
      </c>
      <c r="C358" s="84">
        <v>81</v>
      </c>
      <c r="D358" s="487">
        <f>Лист1!C139*$A$218</f>
        <v>0.28000000000000003</v>
      </c>
      <c r="E358" s="486">
        <f>'патриотика0,31'!E387</f>
        <v>300</v>
      </c>
      <c r="F358" s="489">
        <f t="shared" si="17"/>
        <v>84.000000000000014</v>
      </c>
      <c r="G358" s="169"/>
      <c r="H358" s="7"/>
      <c r="I358" s="7"/>
      <c r="J358" s="142"/>
      <c r="K358" s="114"/>
      <c r="L358" s="143"/>
    </row>
    <row r="359" spans="1:12" ht="15.75" x14ac:dyDescent="0.25">
      <c r="A359" s="127" t="str">
        <f>'патриотика0,31'!A388</f>
        <v>Тройник PPR соединительный 32 Дигор /15/60/</v>
      </c>
      <c r="B359" s="84" t="s">
        <v>88</v>
      </c>
      <c r="C359" s="84">
        <v>82</v>
      </c>
      <c r="D359" s="487">
        <f>Лист1!C140*$A$218</f>
        <v>2.2400000000000002</v>
      </c>
      <c r="E359" s="486">
        <f>'патриотика0,31'!E388</f>
        <v>23</v>
      </c>
      <c r="F359" s="489">
        <f t="shared" si="17"/>
        <v>51.52</v>
      </c>
      <c r="G359" s="169"/>
      <c r="H359" s="7"/>
      <c r="I359" s="7"/>
      <c r="J359" s="142"/>
      <c r="K359" s="114"/>
      <c r="L359" s="143"/>
    </row>
    <row r="360" spans="1:12" ht="30" x14ac:dyDescent="0.25">
      <c r="A360" s="127" t="str">
        <f>'патриотика0,31'!A389</f>
        <v>Труба PPR Ду 25  PN 20, SDR 7,4 (4 м) армир. стекловолокном г.Красноярск  /упак. 25шт./</v>
      </c>
      <c r="B360" s="84" t="s">
        <v>88</v>
      </c>
      <c r="C360" s="84">
        <v>83</v>
      </c>
      <c r="D360" s="487">
        <f>Лист1!C141*$A$218</f>
        <v>0.84000000000000008</v>
      </c>
      <c r="E360" s="486">
        <f>'патриотика0,31'!E389</f>
        <v>272</v>
      </c>
      <c r="F360" s="489">
        <f t="shared" si="17"/>
        <v>228.48000000000002</v>
      </c>
      <c r="G360" s="169"/>
      <c r="H360" s="7"/>
      <c r="I360" s="7"/>
      <c r="J360" s="142"/>
      <c r="K360" s="114"/>
      <c r="L360" s="143"/>
    </row>
    <row r="361" spans="1:12" ht="15.75" x14ac:dyDescent="0.25">
      <c r="A361" s="127" t="str">
        <f>'патриотика0,31'!A390</f>
        <v>Труба РР PN25 Д-32*5,4 (1") L-4,0м (стекловолокно) (упак. 15 шт.)</v>
      </c>
      <c r="B361" s="84" t="s">
        <v>88</v>
      </c>
      <c r="C361" s="84">
        <v>84</v>
      </c>
      <c r="D361" s="487">
        <f>Лист1!C142*$A$218</f>
        <v>0.28000000000000003</v>
      </c>
      <c r="E361" s="486">
        <f>'патриотика0,31'!E390</f>
        <v>650</v>
      </c>
      <c r="F361" s="489">
        <f t="shared" si="17"/>
        <v>182.00000000000003</v>
      </c>
      <c r="G361" s="169"/>
      <c r="H361" s="7"/>
      <c r="I361" s="7"/>
      <c r="J361" s="142"/>
      <c r="K361" s="114"/>
      <c r="L361" s="143"/>
    </row>
    <row r="362" spans="1:12" ht="15.75" x14ac:dyDescent="0.25">
      <c r="A362" s="127" t="str">
        <f>'патриотика0,31'!A391</f>
        <v>Изоляция для труб холодной воды 42/9мм, 2м /10/</v>
      </c>
      <c r="B362" s="84" t="s">
        <v>88</v>
      </c>
      <c r="C362" s="84">
        <v>85</v>
      </c>
      <c r="D362" s="487">
        <f>Лист1!C143*$A$218</f>
        <v>1.4000000000000001</v>
      </c>
      <c r="E362" s="486">
        <f>'патриотика0,31'!E391</f>
        <v>55</v>
      </c>
      <c r="F362" s="489">
        <f t="shared" si="17"/>
        <v>77.000000000000014</v>
      </c>
      <c r="G362" s="169"/>
      <c r="H362" s="7"/>
      <c r="I362" s="7"/>
      <c r="J362" s="142"/>
      <c r="K362" s="114"/>
      <c r="L362" s="143"/>
    </row>
    <row r="363" spans="1:12" ht="15.75" x14ac:dyDescent="0.25">
      <c r="A363" s="127" t="str">
        <f>'патриотика0,31'!A392</f>
        <v>Изодом НПЭ Л 10мм (1,0х25 п.м)</v>
      </c>
      <c r="B363" s="84" t="s">
        <v>88</v>
      </c>
      <c r="C363" s="84">
        <v>86</v>
      </c>
      <c r="D363" s="487">
        <f>Лист1!C144*$A$218</f>
        <v>0.56000000000000005</v>
      </c>
      <c r="E363" s="486">
        <f>'патриотика0,31'!E392</f>
        <v>120</v>
      </c>
      <c r="F363" s="489">
        <f t="shared" si="17"/>
        <v>67.2</v>
      </c>
      <c r="G363" s="169"/>
      <c r="H363" s="7"/>
      <c r="I363" s="7"/>
      <c r="J363" s="142"/>
      <c r="K363" s="114"/>
      <c r="L363" s="143"/>
    </row>
    <row r="364" spans="1:12" ht="15.75" x14ac:dyDescent="0.25">
      <c r="A364" s="127" t="str">
        <f>'патриотика0,31'!A393</f>
        <v>Лента серпянка сетка строительная самокл. Стелс 45мм.*45м. /63/</v>
      </c>
      <c r="B364" s="84" t="s">
        <v>88</v>
      </c>
      <c r="C364" s="84">
        <v>87</v>
      </c>
      <c r="D364" s="487">
        <f>Лист1!C145*$A$218</f>
        <v>1.4000000000000001</v>
      </c>
      <c r="E364" s="486">
        <f>'патриотика0,31'!E393</f>
        <v>69</v>
      </c>
      <c r="F364" s="489">
        <f t="shared" si="17"/>
        <v>96.600000000000009</v>
      </c>
      <c r="G364" s="169"/>
      <c r="H364" s="7"/>
      <c r="I364" s="7"/>
      <c r="J364" s="142"/>
      <c r="K364" s="114"/>
      <c r="L364" s="143"/>
    </row>
    <row r="365" spans="1:12" ht="15.75" x14ac:dyDescent="0.25">
      <c r="A365" s="127" t="str">
        <f>'патриотика0,31'!A394</f>
        <v>Клей Cosmofen СА-12  20гр /флакон прозр.  /20/</v>
      </c>
      <c r="B365" s="84" t="s">
        <v>88</v>
      </c>
      <c r="C365" s="84">
        <v>88</v>
      </c>
      <c r="D365" s="487">
        <f>Лист1!C146*$A$218</f>
        <v>0.28000000000000003</v>
      </c>
      <c r="E365" s="486">
        <f>'патриотика0,31'!E394</f>
        <v>180</v>
      </c>
      <c r="F365" s="489">
        <f t="shared" si="17"/>
        <v>50.400000000000006</v>
      </c>
      <c r="G365" s="169"/>
      <c r="H365" s="7"/>
      <c r="I365" s="7"/>
      <c r="J365" s="142"/>
      <c r="K365" s="116"/>
      <c r="L365" s="143"/>
    </row>
    <row r="366" spans="1:12" ht="15.75" x14ac:dyDescent="0.25">
      <c r="A366" s="127" t="str">
        <f>'патриотика0,31'!A395</f>
        <v>Сверло ЗУБР "МАСТЕР" по бетону ударное, 6х150мм</v>
      </c>
      <c r="B366" s="84" t="s">
        <v>88</v>
      </c>
      <c r="C366" s="84">
        <v>89</v>
      </c>
      <c r="D366" s="487">
        <f>Лист1!C147*$A$218</f>
        <v>0.28000000000000003</v>
      </c>
      <c r="E366" s="486">
        <f>'патриотика0,31'!E395</f>
        <v>62</v>
      </c>
      <c r="F366" s="489">
        <f t="shared" si="17"/>
        <v>17.360000000000003</v>
      </c>
      <c r="G366" s="169"/>
      <c r="H366" s="7"/>
      <c r="I366" s="7"/>
      <c r="J366" s="142"/>
      <c r="K366" s="116"/>
      <c r="L366" s="143"/>
    </row>
    <row r="367" spans="1:12" ht="30" x14ac:dyDescent="0.25">
      <c r="A367" s="127" t="str">
        <f>'патриотика0,31'!A396</f>
        <v>Сверло ЗУБР "СУПЕР-6" по бетону ударное, шестигранный хвостовик, 4x75мм</v>
      </c>
      <c r="B367" s="84" t="s">
        <v>88</v>
      </c>
      <c r="C367" s="84">
        <v>90</v>
      </c>
      <c r="D367" s="487">
        <f>Лист1!C148*$A$218</f>
        <v>0.28000000000000003</v>
      </c>
      <c r="E367" s="486">
        <f>'патриотика0,31'!E396</f>
        <v>42</v>
      </c>
      <c r="F367" s="489">
        <f t="shared" si="17"/>
        <v>11.760000000000002</v>
      </c>
      <c r="G367" s="169"/>
      <c r="H367" s="7"/>
      <c r="I367" s="7"/>
      <c r="J367" s="142"/>
      <c r="K367" s="116"/>
      <c r="L367" s="143"/>
    </row>
    <row r="368" spans="1:12" ht="15.75" x14ac:dyDescent="0.25">
      <c r="A368" s="127" t="str">
        <f>'патриотика0,31'!A397</f>
        <v>Профиль потолочный А-3 2,0м в сборе (М) (10)</v>
      </c>
      <c r="B368" s="84" t="s">
        <v>88</v>
      </c>
      <c r="C368" s="84">
        <v>91</v>
      </c>
      <c r="D368" s="487">
        <f>Лист1!C149*$A$218</f>
        <v>0.28000000000000003</v>
      </c>
      <c r="E368" s="486">
        <f>'патриотика0,31'!E397</f>
        <v>223</v>
      </c>
      <c r="F368" s="489">
        <f t="shared" si="17"/>
        <v>62.440000000000005</v>
      </c>
      <c r="G368" s="169"/>
      <c r="H368" s="7"/>
      <c r="I368" s="7"/>
      <c r="J368" s="142"/>
      <c r="K368" s="116"/>
      <c r="L368" s="143"/>
    </row>
    <row r="369" spans="1:12" ht="15.75" x14ac:dyDescent="0.25">
      <c r="A369" s="127" t="str">
        <f>'патриотика0,31'!A398</f>
        <v>Клеёнка силиконовая Dekorelle 1,20*20м прозрачная (толщина 0,8мм)</v>
      </c>
      <c r="B369" s="84" t="s">
        <v>88</v>
      </c>
      <c r="C369" s="84">
        <v>92</v>
      </c>
      <c r="D369" s="487">
        <f>Лист1!C150*$A$218</f>
        <v>0.33600000000000002</v>
      </c>
      <c r="E369" s="486">
        <f>'патриотика0,31'!E398</f>
        <v>467</v>
      </c>
      <c r="F369" s="489">
        <f t="shared" si="17"/>
        <v>156.91200000000001</v>
      </c>
      <c r="G369" s="169"/>
      <c r="H369" s="7"/>
      <c r="I369" s="7"/>
      <c r="J369" s="142"/>
      <c r="K369" s="116"/>
      <c r="L369" s="143"/>
    </row>
    <row r="370" spans="1:12" ht="15.75" x14ac:dyDescent="0.25">
      <c r="A370" s="127" t="str">
        <f>'патриотика0,31'!A399</f>
        <v>антифриз УАЗ</v>
      </c>
      <c r="B370" s="84" t="s">
        <v>88</v>
      </c>
      <c r="C370" s="84">
        <v>93</v>
      </c>
      <c r="D370" s="487">
        <f>Лист1!C151*$A$218</f>
        <v>0.56000000000000005</v>
      </c>
      <c r="E370" s="486">
        <f>'патриотика0,31'!E399</f>
        <v>630</v>
      </c>
      <c r="F370" s="489">
        <f t="shared" si="17"/>
        <v>352.8</v>
      </c>
      <c r="G370" s="169"/>
      <c r="H370" s="7"/>
      <c r="I370" s="7"/>
      <c r="J370" s="142"/>
      <c r="K370" s="116"/>
      <c r="L370" s="143"/>
    </row>
    <row r="371" spans="1:12" ht="15.75" x14ac:dyDescent="0.25">
      <c r="A371" s="127" t="str">
        <f>'патриотика0,31'!A400</f>
        <v>ГСМ УАЗ (Масло двигатель)</v>
      </c>
      <c r="B371" s="84" t="s">
        <v>88</v>
      </c>
      <c r="C371" s="84">
        <v>94</v>
      </c>
      <c r="D371" s="487">
        <f>Лист1!C152*$A$218</f>
        <v>2.2400000000000002</v>
      </c>
      <c r="E371" s="486">
        <f>'патриотика0,31'!E400</f>
        <v>2963.25</v>
      </c>
      <c r="F371" s="489">
        <f t="shared" si="17"/>
        <v>6637.68</v>
      </c>
      <c r="G371" s="169"/>
      <c r="H371" s="7"/>
      <c r="I371" s="7"/>
      <c r="J371" s="142"/>
      <c r="K371" s="116"/>
      <c r="L371" s="143"/>
    </row>
    <row r="372" spans="1:12" ht="15.75" x14ac:dyDescent="0.25">
      <c r="A372" s="127" t="str">
        <f>'патриотика0,31'!A401</f>
        <v>ГСМ Бензин</v>
      </c>
      <c r="B372" s="84" t="s">
        <v>88</v>
      </c>
      <c r="C372" s="84">
        <v>95</v>
      </c>
      <c r="D372" s="487">
        <f>Лист1!C153*$A$218</f>
        <v>840.00000000000011</v>
      </c>
      <c r="E372" s="486">
        <f>'патриотика0,31'!E401</f>
        <v>48.77</v>
      </c>
      <c r="F372" s="489">
        <f t="shared" si="17"/>
        <v>40966.80000000001</v>
      </c>
      <c r="G372" s="169"/>
      <c r="H372" s="7"/>
      <c r="I372" s="7"/>
      <c r="J372" s="142"/>
      <c r="K372" s="116"/>
      <c r="L372" s="143"/>
    </row>
    <row r="373" spans="1:12" ht="15.75" x14ac:dyDescent="0.25">
      <c r="A373" s="127" t="str">
        <f>'патриотика0,31'!A402</f>
        <v>перчатки нитриловые L</v>
      </c>
      <c r="B373" s="84" t="s">
        <v>88</v>
      </c>
      <c r="C373" s="84">
        <v>96</v>
      </c>
      <c r="D373" s="487">
        <f>Лист1!C154*$A$218</f>
        <v>224.00000000000003</v>
      </c>
      <c r="E373" s="486">
        <f>'патриотика0,31'!E402</f>
        <v>40</v>
      </c>
      <c r="F373" s="489">
        <f t="shared" si="17"/>
        <v>8960.0000000000018</v>
      </c>
      <c r="G373" s="169"/>
      <c r="H373" s="7"/>
      <c r="I373" s="7"/>
      <c r="J373" s="142"/>
      <c r="K373" s="116"/>
      <c r="L373" s="143"/>
    </row>
    <row r="374" spans="1:12" ht="15.75" x14ac:dyDescent="0.25">
      <c r="A374" s="127" t="str">
        <f>'патриотика0,31'!A403</f>
        <v>перчатки нитриловые М</v>
      </c>
      <c r="B374" s="84" t="s">
        <v>88</v>
      </c>
      <c r="C374" s="84">
        <v>97</v>
      </c>
      <c r="D374" s="487">
        <f>Лист1!C155*$A$218</f>
        <v>224.00000000000003</v>
      </c>
      <c r="E374" s="486">
        <f>'патриотика0,31'!E403</f>
        <v>40</v>
      </c>
      <c r="F374" s="489">
        <f t="shared" si="17"/>
        <v>8960.0000000000018</v>
      </c>
      <c r="G374" s="169"/>
      <c r="H374" s="7"/>
      <c r="I374" s="7"/>
      <c r="J374" s="142"/>
      <c r="K374" s="116"/>
      <c r="L374" s="143"/>
    </row>
    <row r="375" spans="1:12" ht="15.75" x14ac:dyDescent="0.25">
      <c r="A375" s="127" t="str">
        <f>'патриотика0,31'!A404</f>
        <v>маска мед одноразовая</v>
      </c>
      <c r="B375" s="84" t="s">
        <v>88</v>
      </c>
      <c r="C375" s="84">
        <v>98</v>
      </c>
      <c r="D375" s="487">
        <f>Лист1!C156*$A$218</f>
        <v>280</v>
      </c>
      <c r="E375" s="486">
        <f>'патриотика0,31'!E404</f>
        <v>20</v>
      </c>
      <c r="F375" s="489">
        <f t="shared" si="17"/>
        <v>5600</v>
      </c>
      <c r="G375" s="169"/>
      <c r="H375" s="7"/>
      <c r="I375" s="7"/>
      <c r="J375" s="142"/>
      <c r="K375" s="116"/>
      <c r="L375" s="143"/>
    </row>
    <row r="376" spans="1:12" ht="15.75" x14ac:dyDescent="0.25">
      <c r="A376" s="127" t="str">
        <f>'патриотика0,31'!A405</f>
        <v>скреппер волокуша для снега</v>
      </c>
      <c r="B376" s="84" t="s">
        <v>88</v>
      </c>
      <c r="C376" s="84">
        <v>99</v>
      </c>
      <c r="D376" s="487">
        <f>Лист1!C157*$A$218</f>
        <v>0.28000000000000003</v>
      </c>
      <c r="E376" s="486">
        <f>'патриотика0,31'!E405</f>
        <v>1077.5999999999999</v>
      </c>
      <c r="F376" s="489">
        <f t="shared" si="17"/>
        <v>301.72800000000001</v>
      </c>
      <c r="G376" s="169"/>
      <c r="H376" s="7"/>
      <c r="I376" s="7"/>
      <c r="J376" s="142"/>
      <c r="K376" s="116"/>
      <c r="L376" s="143"/>
    </row>
    <row r="377" spans="1:12" ht="15.75" x14ac:dyDescent="0.25">
      <c r="A377" s="127" t="str">
        <f>'патриотика0,31'!A406</f>
        <v>мультиДез 1л</v>
      </c>
      <c r="B377" s="84" t="s">
        <v>88</v>
      </c>
      <c r="C377" s="84">
        <v>100</v>
      </c>
      <c r="D377" s="487">
        <f>Лист1!C158*$A$218</f>
        <v>2.8000000000000003</v>
      </c>
      <c r="E377" s="486">
        <f>'патриотика0,31'!E406</f>
        <v>1200</v>
      </c>
      <c r="F377" s="489">
        <f t="shared" si="17"/>
        <v>3360.0000000000005</v>
      </c>
      <c r="G377" s="169"/>
      <c r="H377" s="7"/>
      <c r="I377" s="7"/>
      <c r="J377" s="142"/>
      <c r="K377" s="116"/>
      <c r="L377" s="143"/>
    </row>
    <row r="378" spans="1:12" ht="15.75" x14ac:dyDescent="0.25">
      <c r="A378" s="127" t="str">
        <f>'патриотика0,31'!A407</f>
        <v>Мульти ДезТефлекс 0,5</v>
      </c>
      <c r="B378" s="84" t="s">
        <v>88</v>
      </c>
      <c r="C378" s="84">
        <v>101</v>
      </c>
      <c r="D378" s="487">
        <f>Лист1!C159*$A$218</f>
        <v>1.1200000000000001</v>
      </c>
      <c r="E378" s="486">
        <f>'патриотика0,31'!E407</f>
        <v>500</v>
      </c>
      <c r="F378" s="489">
        <f t="shared" si="17"/>
        <v>560</v>
      </c>
      <c r="G378" s="169"/>
      <c r="H378" s="7"/>
      <c r="I378" s="7"/>
      <c r="J378" s="142"/>
      <c r="K378" s="116"/>
      <c r="L378" s="143"/>
    </row>
    <row r="379" spans="1:12" ht="18.75" x14ac:dyDescent="0.25">
      <c r="A379" s="670" t="s">
        <v>31</v>
      </c>
      <c r="B379" s="671"/>
      <c r="C379" s="671"/>
      <c r="D379" s="671"/>
      <c r="E379" s="672"/>
      <c r="F379" s="456">
        <f>SUM(F222:F378)</f>
        <v>150395</v>
      </c>
      <c r="G379" s="169"/>
      <c r="H379" s="7"/>
      <c r="I379" s="7"/>
    </row>
    <row r="380" spans="1:12" ht="15.75" x14ac:dyDescent="0.25">
      <c r="A380" s="7"/>
      <c r="B380" s="7"/>
      <c r="C380" s="7"/>
      <c r="D380" s="7"/>
      <c r="E380" s="169"/>
      <c r="F380" s="7"/>
      <c r="G380" s="169"/>
      <c r="H380" s="7"/>
      <c r="I380" s="7"/>
    </row>
    <row r="381" spans="1:12" ht="15.75" x14ac:dyDescent="0.25">
      <c r="A381" s="7"/>
      <c r="B381" s="7"/>
      <c r="C381" s="7"/>
      <c r="D381" s="7"/>
      <c r="E381" s="7"/>
      <c r="F381" s="7"/>
    </row>
  </sheetData>
  <autoFilter ref="A220:I378" xr:uid="{00000000-0009-0000-0000-000007000000}"/>
  <mergeCells count="172">
    <mergeCell ref="B34:C34"/>
    <mergeCell ref="A97:F97"/>
    <mergeCell ref="G45:G46"/>
    <mergeCell ref="A139:F139"/>
    <mergeCell ref="I101:I103"/>
    <mergeCell ref="A104:A105"/>
    <mergeCell ref="B104:B105"/>
    <mergeCell ref="D104:D105"/>
    <mergeCell ref="E104:E105"/>
    <mergeCell ref="F104:F105"/>
    <mergeCell ref="G104:G105"/>
    <mergeCell ref="I104:I105"/>
    <mergeCell ref="A110:F110"/>
    <mergeCell ref="D129:F129"/>
    <mergeCell ref="A42:F42"/>
    <mergeCell ref="A45:B46"/>
    <mergeCell ref="D45:D46"/>
    <mergeCell ref="A99:H99"/>
    <mergeCell ref="B101:B103"/>
    <mergeCell ref="D101:D103"/>
    <mergeCell ref="E101:F101"/>
    <mergeCell ref="G101:G103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87:B87"/>
    <mergeCell ref="G90:G91"/>
    <mergeCell ref="H90:H9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94:B94"/>
    <mergeCell ref="A96:B96"/>
    <mergeCell ref="A95:B95"/>
    <mergeCell ref="A48:B48"/>
    <mergeCell ref="A92:B92"/>
    <mergeCell ref="A93:B93"/>
    <mergeCell ref="A162:B162"/>
    <mergeCell ref="A141:A142"/>
    <mergeCell ref="B141:B142"/>
    <mergeCell ref="B132:C132"/>
    <mergeCell ref="A128:H128"/>
    <mergeCell ref="A129:A131"/>
    <mergeCell ref="B129:C131"/>
    <mergeCell ref="D130:D131"/>
    <mergeCell ref="E130:E131"/>
    <mergeCell ref="F130:F131"/>
    <mergeCell ref="A88:F88"/>
    <mergeCell ref="A90:B91"/>
    <mergeCell ref="D90:D91"/>
    <mergeCell ref="A49:B49"/>
    <mergeCell ref="A50:B50"/>
    <mergeCell ref="A52:B52"/>
    <mergeCell ref="A53:F53"/>
    <mergeCell ref="A55:B56"/>
    <mergeCell ref="D141:D142"/>
    <mergeCell ref="E141:E142"/>
    <mergeCell ref="F141:F142"/>
    <mergeCell ref="A166:F166"/>
    <mergeCell ref="A168:A169"/>
    <mergeCell ref="B168:B169"/>
    <mergeCell ref="D168:D169"/>
    <mergeCell ref="E168:E169"/>
    <mergeCell ref="A156:F156"/>
    <mergeCell ref="E159:E160"/>
    <mergeCell ref="F159:F160"/>
    <mergeCell ref="G179:G180"/>
    <mergeCell ref="A184:F184"/>
    <mergeCell ref="A185:F185"/>
    <mergeCell ref="A187:A188"/>
    <mergeCell ref="B187:B188"/>
    <mergeCell ref="D187:D188"/>
    <mergeCell ref="F168:F169"/>
    <mergeCell ref="A150:E150"/>
    <mergeCell ref="E187:E188"/>
    <mergeCell ref="F187:F188"/>
    <mergeCell ref="A179:A180"/>
    <mergeCell ref="B179:B180"/>
    <mergeCell ref="D179:D180"/>
    <mergeCell ref="E179:E180"/>
    <mergeCell ref="F179:F180"/>
    <mergeCell ref="A163:B163"/>
    <mergeCell ref="A164:B164"/>
    <mergeCell ref="A165:B165"/>
    <mergeCell ref="A177:F177"/>
    <mergeCell ref="G168:G169"/>
    <mergeCell ref="A159:B160"/>
    <mergeCell ref="D159:D160"/>
    <mergeCell ref="G159:G160"/>
    <mergeCell ref="A161:B161"/>
    <mergeCell ref="A379:E379"/>
    <mergeCell ref="A176:F176"/>
    <mergeCell ref="A216:E216"/>
    <mergeCell ref="A217:F217"/>
    <mergeCell ref="A218:F218"/>
    <mergeCell ref="A219:A220"/>
    <mergeCell ref="B219:B220"/>
    <mergeCell ref="D219:D220"/>
    <mergeCell ref="E219:E220"/>
    <mergeCell ref="F219:F220"/>
    <mergeCell ref="A1:I1"/>
    <mergeCell ref="E90:E91"/>
    <mergeCell ref="F90:F91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121:H121"/>
    <mergeCell ref="A122:A124"/>
    <mergeCell ref="B122:C124"/>
    <mergeCell ref="D122:D124"/>
    <mergeCell ref="E122:E124"/>
    <mergeCell ref="F122:F124"/>
    <mergeCell ref="B125:C125"/>
    <mergeCell ref="B127:C127"/>
    <mergeCell ref="A111:H111"/>
    <mergeCell ref="A112:A114"/>
    <mergeCell ref="B112:C114"/>
    <mergeCell ref="D112:D114"/>
    <mergeCell ref="E112:E114"/>
    <mergeCell ref="F112:F114"/>
    <mergeCell ref="B115:C115"/>
    <mergeCell ref="B117:C117"/>
    <mergeCell ref="B118:C118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87" max="9" man="1"/>
    <brk id="176" max="8" man="1"/>
    <brk id="28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41" t="s">
        <v>74</v>
      </c>
      <c r="B1" s="741"/>
      <c r="C1" s="741"/>
      <c r="D1" s="741"/>
      <c r="E1" s="741"/>
      <c r="F1" s="741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63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2020-12-09T07:18:22Z</dcterms:modified>
</cp:coreProperties>
</file>